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oq7Z2i47NBoZWgig0C+BAhXUMqIIVG8d7r37c4iyrP6I1WlM52iCOj14glb4Q1ZM+oXj+mZQC1qFSlS3NCHlQ==" workbookSaltValue="u0gvwJKTXKQOpmcMHaCf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F17" i="8"/>
  <c r="AB19" i="19"/>
  <c r="E18" i="12"/>
  <c r="ER19" i="8"/>
  <c r="EL19" i="8"/>
  <c r="AC11" i="11"/>
  <c r="EQ19" i="8"/>
  <c r="AP12" i="11"/>
  <c r="Y11" i="11"/>
  <c r="AT18" i="17"/>
  <c r="N10" i="11"/>
  <c r="N9" i="11"/>
  <c r="T10" i="21"/>
  <c r="V10" i="21" s="1"/>
  <c r="F10" i="10"/>
  <c r="D11" i="2"/>
  <c r="N11" i="11"/>
  <c r="ES19" i="8"/>
  <c r="S19" i="13"/>
  <c r="AG19" i="19"/>
  <c r="F9" i="11"/>
  <c r="CI19" i="8"/>
  <c r="AE19" i="8"/>
  <c r="EP19" i="8"/>
  <c r="ER19" i="13"/>
  <c r="AL13" i="16"/>
  <c r="BF11" i="11"/>
  <c r="BL9" i="11"/>
  <c r="BG10" i="11"/>
  <c r="P17" i="17"/>
  <c r="BK12" i="11"/>
  <c r="BK9" i="11"/>
  <c r="S13" i="16"/>
  <c r="H18" i="16"/>
  <c r="P13" i="16"/>
  <c r="AN13" i="20"/>
  <c r="F15" i="17"/>
  <c r="Z13" i="17"/>
  <c r="F9" i="2"/>
  <c r="AL11" i="11"/>
  <c r="AO12" i="17"/>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D12" i="8"/>
  <c r="BD9" i="8"/>
  <c r="BA13" i="8"/>
  <c r="X12" i="17"/>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G15" i="8" l="1"/>
  <c r="BF15" i="8"/>
  <c r="AW18" i="21"/>
  <c r="H15" i="2"/>
  <c r="H12" i="2"/>
  <c r="AC10" i="11"/>
  <c r="AB19" i="8"/>
  <c r="AY13" i="8"/>
  <c r="AY19" i="8" s="1"/>
  <c r="BE9" i="8"/>
  <c r="AL10" i="11"/>
  <c r="H12" i="7"/>
  <c r="B12" i="6"/>
  <c r="AO12" i="11"/>
  <c r="AO16" i="11"/>
  <c r="AO9" i="11"/>
  <c r="C11" i="6"/>
  <c r="L12" i="14"/>
  <c r="B17" i="6"/>
  <c r="B16" i="6"/>
  <c r="C17" i="6"/>
  <c r="B9" i="6"/>
  <c r="E11" i="6"/>
  <c r="C10" i="6"/>
  <c r="BF16" i="13"/>
  <c r="BE16" i="13"/>
  <c r="AO17" i="11"/>
  <c r="E15" i="6"/>
  <c r="K15" i="12" s="1"/>
  <c r="BD15" i="8"/>
  <c r="H15" i="7" s="1"/>
  <c r="BE15" i="8"/>
  <c r="I15" i="7" s="1"/>
  <c r="BG16" i="8"/>
  <c r="E18" i="2"/>
  <c r="F18" i="2" s="1"/>
  <c r="AL15" i="11"/>
  <c r="L16" i="14"/>
  <c r="F15" i="11"/>
  <c r="F16" i="17"/>
  <c r="F18" i="17" s="1"/>
  <c r="E9" i="6"/>
  <c r="BF9" i="13"/>
  <c r="D11" i="12"/>
  <c r="D12" i="12"/>
  <c r="BF11" i="8"/>
  <c r="BF9" i="8"/>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D19" i="5"/>
  <c r="F19" i="7"/>
  <c r="K9" i="12"/>
  <c r="AL18" i="11"/>
  <c r="H13" i="2"/>
  <c r="G21" i="11"/>
  <c r="AM13" i="11"/>
  <c r="I15" i="12"/>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<sst xmlns="http://schemas.openxmlformats.org/spreadsheetml/2006/main" count="2102" uniqueCount="918">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</sst>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0naiMqkpfIHsvktdEec6bq6UqyCFy7vSbv2NTRtz6Nte/wXWr7URzfF9lEJuYl8LX8p/7/3wJr/3zTL4T7aGg==" saltValue="A6Th4m+pqAG/J+22UL6Q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76.790052053209948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101</v>
      </c>
      <c r="D10" s="224">
        <f>IF(ISNUMBER(Datos!I10),Datos!I10," - ")</f>
        <v>101</v>
      </c>
      <c r="E10" s="225">
        <f>IF(ISNUMBER(Datos!J10),Datos!J10," - ")</f>
        <v>37</v>
      </c>
      <c r="F10" s="225">
        <f>IF(ISNUMBER(Datos!K10),Datos!K10," - ")</f>
        <v>29</v>
      </c>
      <c r="G10" s="1033" t="str">
        <f>IF(Datos!E10&lt;&gt;"",Datos!E10,Datos!D10)</f>
        <v>37</v>
      </c>
      <c r="H10" s="226">
        <f>IF(ISNUMBER(Datos!L10),Datos!L10," - ")</f>
        <v>109</v>
      </c>
      <c r="I10" s="1043" t="str">
        <f>IF(ISNUMBER(Datos!AS10/Datos!BM10),Datos!AS10/Datos!BM10," - ")</f>
        <v xml:space="preserve"> - </v>
      </c>
      <c r="J10" s="1044">
        <f>IF(ISNUMBER(Datos!BY10/Datos!CN10),Datos!BY10/Datos!CN10," - ")</f>
        <v>0</v>
      </c>
      <c r="K10" s="229">
        <f t="shared" ref="K10:K12" si="1">IF(ISNUMBER((E10-F10)/C10),(E10-F10)/C10," - ")</f>
        <v>7.9207920792079209E-2</v>
      </c>
      <c r="L10" s="1024">
        <f>IF(ISNUMBER(NºAsuntos!I10/NºAsuntos!G10),(NºAsuntos!I10/NºAsuntos!G10)*11," - ")</f>
        <v>41.344827586206897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101</v>
      </c>
      <c r="D13" s="1048">
        <f>SUBTOTAL(9,D9:D12)</f>
        <v>101</v>
      </c>
      <c r="E13" s="1049">
        <f>SUBTOTAL(9,E9:E12)</f>
        <v>37</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5160</v>
      </c>
      <c r="D15" s="224">
        <f>IF(ISNUMBER(IF(D_I="SI",Datos!I15,Datos!I15+Datos!AC15)),IF(D_I="SI",Datos!I15,Datos!I15+Datos!AC15)," - ")</f>
        <v>5050</v>
      </c>
      <c r="E15" s="225">
        <f>IF(ISNUMBER(IF(D_I="SI",Datos!J15,Datos!J15+Datos!AD15)),IF(D_I="SI",Datos!J15,Datos!J15+Datos!AD15)," - ")</f>
        <v>4851</v>
      </c>
      <c r="F15" s="225">
        <f>IF(ISNUMBER(IF(D_I="SI",Datos!K15,Datos!K15+Datos!AE15)),IF(D_I="SI",Datos!K15,Datos!K15+Datos!AE15)," - ")</f>
        <v>5000</v>
      </c>
      <c r="G15" s="1033" t="str">
        <f>IF(Datos!E15&lt;&gt;"",Datos!E15,Datos!D15)</f>
        <v>03</v>
      </c>
      <c r="H15" s="226">
        <f>IF(ISNUMBER(IF(D_I="SI",Datos!L15,Datos!L15+Datos!AF15)),IF(D_I="SI",Datos!L15,Datos!L15+Datos!AF15)," - ")</f>
        <v>5011</v>
      </c>
      <c r="I15" s="1043" t="str">
        <f>IF(ISNUMBER(Datos!AS15/Datos!BM15),Datos!AS15/Datos!BM15," - ")</f>
        <v xml:space="preserve"> - </v>
      </c>
      <c r="J15" s="1044">
        <f>IF(ISNUMBER(Datos!BY15/Datos!CN15),Datos!BY15/Datos!CN15," - ")</f>
        <v>0</v>
      </c>
      <c r="K15" s="229">
        <f t="shared" ref="K15:K17" si="3">IF(ISNUMBER((E15-F15)/C15),(E15-F15)/C15," - ")</f>
        <v>-2.8875968992248063E-2</v>
      </c>
      <c r="L15" s="1024">
        <f>IF(ISNUMBER(NºAsuntos!I15/NºAsuntos!G15),(NºAsuntos!I15/NºAsuntos!G15)*11," - ")</f>
        <v>11.0242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462</v>
      </c>
      <c r="D17" s="224">
        <f>IF(ISNUMBER(IF(D_I="SI",Datos!I17,Datos!I17+Datos!AC17)),IF(D_I="SI",Datos!I17,Datos!I17+Datos!AC17)," - ")</f>
        <v>462</v>
      </c>
      <c r="E17" s="225">
        <f>IF(ISNUMBER(IF(D_I="SI",Datos!J17,Datos!J17+Datos!AD17)),IF(D_I="SI",Datos!J17,Datos!J17+Datos!AD17)," - ")</f>
        <v>526</v>
      </c>
      <c r="F17" s="225">
        <f>IF(ISNUMBER(IF(D_I="SI",Datos!K17,Datos!K17+Datos!AE17)),IF(D_I="SI",Datos!K17,Datos!K17+Datos!AE17)," - ")</f>
        <v>485</v>
      </c>
      <c r="G17" s="1033" t="str">
        <f>IF(Datos!E17&lt;&gt;"",Datos!E17,Datos!D17)</f>
        <v>37</v>
      </c>
      <c r="H17" s="226">
        <f>IF(ISNUMBER(IF(D_I="SI",Datos!L17,Datos!L17+Datos!AF17)),IF(D_I="SI",Datos!L17,Datos!L17+Datos!AF17)," - ")</f>
        <v>503</v>
      </c>
      <c r="I17" s="1043" t="str">
        <f>IF(ISNUMBER(Datos!AS17/Datos!BM17),Datos!AS17/Datos!BM17," - ")</f>
        <v xml:space="preserve"> - </v>
      </c>
      <c r="J17" s="1044" t="str">
        <f>IF(ISNUMBER((Datos!BY17+Datos!BZ17)/Datos!CN17),(Datos!BY17+Datos!BZ17)/Datos!CN17," - ")</f>
        <v xml:space="preserve"> - </v>
      </c>
      <c r="K17" s="229">
        <f t="shared" si="3"/>
        <v>8.8744588744588751E-2</v>
      </c>
      <c r="L17" s="1024">
        <f>IF(ISNUMBER(NºAsuntos!I17/NºAsuntos!G17),(NºAsuntos!I17/NºAsuntos!G17)*11," - ")</f>
        <v>11.408247422680413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5622</v>
      </c>
      <c r="D18" s="1048">
        <f>SUBTOTAL(9,D15:D17)</f>
        <v>5512</v>
      </c>
      <c r="E18" s="1049">
        <f>SUBTOTAL(9,E15:E17)</f>
        <v>5377</v>
      </c>
      <c r="F18" s="1049">
        <f>SUBTOTAL(9,F15:F17)</f>
        <v>5485</v>
      </c>
      <c r="G18" s="1051" t="str">
        <f ca="1">INDIRECT(CONCATENATE("G",ROW()-1))</f>
        <v>37</v>
      </c>
      <c r="H18" s="1052">
        <f ca="1">SUMIF(G$14:G17,G18,H$14:H17)</f>
        <v>503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5723</v>
      </c>
      <c r="D19" s="1070">
        <f>SUBTOTAL(9,D9:D18)</f>
        <v>5613</v>
      </c>
      <c r="E19" s="1071">
        <f>SUBTOTAL(9,E9:E18)</f>
        <v>5414</v>
      </c>
      <c r="F19" s="1071">
        <f>SUBTOTAL(9,F9:F18)</f>
        <v>5514</v>
      </c>
      <c r="G19" s="1072"/>
      <c r="H19" s="1073">
        <f ca="1">SUMIF(B9:B18,"TOTAL",H9:H18)</f>
        <v>503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hKS0faGJNXAn8WIBc+tiQYxojIvfo/u44QJjKoIyvqjkAdS5ChNQp9r6SD+K6r1eXGNbbgfl4v+vaPEKeBlfA==" saltValue="W/L6Idf1eaHq4cAm6uDnj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UkEkHKbzv7DfU381tLTgrN4Lou4LMEt+uV5+VHIU70opHO+WJ12gYe78fAQGvKnXvKjxJiavJIlkhvbafHl8A==" saltValue="nkqpOqY7PYWJKoI6hgrd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11076</v>
      </c>
      <c r="J9" s="180">
        <v>2275</v>
      </c>
      <c r="K9" s="180">
        <v>1599</v>
      </c>
      <c r="L9" s="180">
        <v>11752</v>
      </c>
      <c r="M9" s="180">
        <v>624</v>
      </c>
      <c r="N9" s="180">
        <v>766</v>
      </c>
      <c r="O9" s="180">
        <v>728</v>
      </c>
      <c r="P9" s="180">
        <v>810</v>
      </c>
      <c r="Q9" s="180">
        <v>588</v>
      </c>
      <c r="R9" s="180">
        <v>12677</v>
      </c>
      <c r="S9" s="180">
        <v>11124</v>
      </c>
      <c r="T9" s="180">
        <v>3920</v>
      </c>
      <c r="U9" s="180">
        <v>2766</v>
      </c>
      <c r="V9" s="180">
        <v>12278</v>
      </c>
      <c r="W9" s="180">
        <v>713</v>
      </c>
      <c r="X9" s="187">
        <v>1151</v>
      </c>
      <c r="Y9" s="190">
        <v>310</v>
      </c>
      <c r="Z9" s="180">
        <v>138</v>
      </c>
      <c r="AA9" s="180">
        <v>130</v>
      </c>
      <c r="AB9" s="180">
        <v>318</v>
      </c>
      <c r="AC9" s="180">
        <v>0</v>
      </c>
      <c r="AD9" s="180">
        <v>0</v>
      </c>
      <c r="AE9" s="180">
        <v>0</v>
      </c>
      <c r="AF9" s="187">
        <v>0</v>
      </c>
      <c r="AG9" s="190">
        <v>296</v>
      </c>
      <c r="AH9" s="180">
        <v>143</v>
      </c>
      <c r="AI9" s="180">
        <v>158</v>
      </c>
      <c r="AJ9" s="191">
        <v>289</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11420</v>
      </c>
      <c r="AZ9" s="123">
        <f>IF(ISNUMBER(IF(J_V="SI",T9,T9+AH9)),IF(J_V="SI",T9,T9+AH9)," - ")</f>
        <v>4063</v>
      </c>
      <c r="BA9" s="124">
        <f>IF(ISNUMBER(IF(J_V="SI",U9,U9+AI9)),IF(J_V="SI",U9,U9+AI9)," - ")</f>
        <v>2924</v>
      </c>
      <c r="BB9" s="124">
        <f>IF(ISNUMBER(IF(J_V="SI",V9,V9+AJ9)),IF(J_V="SI",V9,V9+AJ9)," - ")</f>
        <v>12567</v>
      </c>
      <c r="BC9" s="125">
        <f>IF(ISNUMBER(X9),X9," - ")</f>
        <v>1151</v>
      </c>
      <c r="BD9" s="126">
        <f>IF(ISNUMBER(BA9/AZ9),BA9/AZ9," - ")</f>
        <v>0.71966527196652719</v>
      </c>
      <c r="BE9" s="127">
        <f>IF(ISNUMBER(BB9/BA9),BB9/BA9, " - ")</f>
        <v>4.2978796169630646</v>
      </c>
      <c r="BF9" s="127">
        <f>IF(ISNUMBER(BC9/BA9),BC9/BA9, " - ")</f>
        <v>0.39363885088919287</v>
      </c>
      <c r="BG9" s="195">
        <f>IF(ISNUMBER((AY9+AZ9)/BA9),(AY9+AZ9)/BA9," - ")</f>
        <v>5.295143638850889</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101</v>
      </c>
      <c r="J10" s="180">
        <v>37</v>
      </c>
      <c r="K10" s="180">
        <v>29</v>
      </c>
      <c r="L10" s="180">
        <v>109</v>
      </c>
      <c r="M10" s="180">
        <v>16</v>
      </c>
      <c r="N10" s="180">
        <v>8</v>
      </c>
      <c r="O10" s="180">
        <v>5</v>
      </c>
      <c r="P10" s="180">
        <v>9</v>
      </c>
      <c r="Q10" s="180">
        <v>0</v>
      </c>
      <c r="R10" s="180">
        <v>42</v>
      </c>
      <c r="S10" s="180">
        <v>68</v>
      </c>
      <c r="T10" s="180">
        <v>47</v>
      </c>
      <c r="U10" s="180">
        <v>40</v>
      </c>
      <c r="V10" s="180">
        <v>98</v>
      </c>
      <c r="W10" s="180">
        <v>17</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68</v>
      </c>
      <c r="AZ10" s="129">
        <f t="shared" si="0"/>
        <v>47</v>
      </c>
      <c r="BA10" s="129">
        <f t="shared" si="0"/>
        <v>40</v>
      </c>
      <c r="BB10" s="129">
        <f t="shared" si="0"/>
        <v>98</v>
      </c>
      <c r="BC10" s="125">
        <f t="shared" si="0"/>
        <v>17</v>
      </c>
      <c r="BD10" s="126">
        <f>IF(ISNUMBER(BA10/AZ10),BA10/AZ10," - ")</f>
        <v>0.85106382978723405</v>
      </c>
      <c r="BE10" s="127">
        <f>IF(ISNUMBER(BB10/BA10),BB10/BA10, " - ")</f>
        <v>2.4500000000000002</v>
      </c>
      <c r="BF10" s="127">
        <f>IF(ISNUMBER(BC10/BA10),BC10/BA10, " - ")</f>
        <v>0.42499999999999999</v>
      </c>
      <c r="BG10" s="195">
        <f>IF(ISNUMBER((AY10+AZ10)/BA10),(AY10+AZ10)/BA10," - ")</f>
        <v>2.875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11177</v>
      </c>
      <c r="J13" s="183">
        <f t="shared" si="6"/>
        <v>2312</v>
      </c>
      <c r="K13" s="183">
        <f t="shared" si="6"/>
        <v>1628</v>
      </c>
      <c r="L13" s="183">
        <f t="shared" si="6"/>
        <v>11861</v>
      </c>
      <c r="M13" s="183">
        <f t="shared" si="6"/>
        <v>640</v>
      </c>
      <c r="N13" s="183">
        <f t="shared" si="6"/>
        <v>774</v>
      </c>
      <c r="O13" s="183">
        <f t="shared" si="6"/>
        <v>733</v>
      </c>
      <c r="P13" s="183">
        <f t="shared" si="6"/>
        <v>819</v>
      </c>
      <c r="Q13" s="183">
        <f t="shared" si="6"/>
        <v>588</v>
      </c>
      <c r="R13" s="183">
        <f t="shared" si="6"/>
        <v>12719</v>
      </c>
      <c r="S13" s="183">
        <f t="shared" si="6"/>
        <v>11192</v>
      </c>
      <c r="T13" s="183">
        <f t="shared" si="6"/>
        <v>3967</v>
      </c>
      <c r="U13" s="183">
        <f t="shared" si="6"/>
        <v>2806</v>
      </c>
      <c r="V13" s="183">
        <f t="shared" si="6"/>
        <v>12376</v>
      </c>
      <c r="W13" s="183">
        <f t="shared" si="6"/>
        <v>730</v>
      </c>
      <c r="X13" s="183">
        <f t="shared" si="6"/>
        <v>1172</v>
      </c>
      <c r="Y13" s="183">
        <f t="shared" si="6"/>
        <v>310</v>
      </c>
      <c r="Z13" s="183">
        <f t="shared" si="6"/>
        <v>138</v>
      </c>
      <c r="AA13" s="183">
        <f t="shared" si="6"/>
        <v>130</v>
      </c>
      <c r="AB13" s="183">
        <f t="shared" si="6"/>
        <v>318</v>
      </c>
      <c r="AC13" s="183">
        <f t="shared" si="6"/>
        <v>0</v>
      </c>
      <c r="AD13" s="183">
        <f t="shared" si="6"/>
        <v>0</v>
      </c>
      <c r="AE13" s="183">
        <f t="shared" si="6"/>
        <v>0</v>
      </c>
      <c r="AF13" s="183">
        <f>SUBTOTAL(9,AF9:AF12)</f>
        <v>0</v>
      </c>
      <c r="AG13" s="183">
        <f t="shared" ref="AG13:AT13" si="7">SUBTOTAL(9,AG8:AG12)</f>
        <v>296</v>
      </c>
      <c r="AH13" s="183">
        <f t="shared" si="7"/>
        <v>143</v>
      </c>
      <c r="AI13" s="183">
        <f t="shared" si="7"/>
        <v>158</v>
      </c>
      <c r="AJ13" s="183">
        <f t="shared" si="7"/>
        <v>289</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11488</v>
      </c>
      <c r="AZ13" s="183">
        <f>SUBTOTAL(9,AZ8:AZ12)</f>
        <v>4110</v>
      </c>
      <c r="BA13" s="183">
        <f>SUBTOTAL(9,BA8:BA12)</f>
        <v>2964</v>
      </c>
      <c r="BB13" s="183">
        <f>SUBTOTAL(9,BB8:BB12)</f>
        <v>12665</v>
      </c>
      <c r="BC13" s="183">
        <f>SUBTOTAL(9,BC8:BC12)</f>
        <v>1168</v>
      </c>
      <c r="BD13" s="204">
        <f>IF(ISNUMBER(BA13/AZ13),BA13/AZ13," - ")</f>
        <v>0.7211678832116788</v>
      </c>
      <c r="BE13" s="205">
        <f>IF(ISNUMBER(BB13/BA13),BB13/BA13, " - ")</f>
        <v>4.2729419703103915</v>
      </c>
      <c r="BF13" s="205">
        <f>IF(ISNUMBER(BC13/BA13),BC13/BA13, " - ")</f>
        <v>0.39406207827260459</v>
      </c>
      <c r="BG13" s="206">
        <f>IF(ISNUMBER((AY13+AZ13)/BA13),(AY13+AZ13)/BA13," - ")</f>
        <v>5.262483130904184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5050</v>
      </c>
      <c r="J15" s="182">
        <v>4851</v>
      </c>
      <c r="K15" s="182">
        <v>5000</v>
      </c>
      <c r="L15" s="182">
        <v>5011</v>
      </c>
      <c r="M15" s="182">
        <v>384</v>
      </c>
      <c r="N15" s="182">
        <v>3527</v>
      </c>
      <c r="O15" s="180">
        <v>66</v>
      </c>
      <c r="P15" s="182">
        <v>65</v>
      </c>
      <c r="Q15" s="182">
        <v>136</v>
      </c>
      <c r="R15" s="182">
        <v>248</v>
      </c>
      <c r="S15" s="182">
        <v>4164</v>
      </c>
      <c r="T15" s="182">
        <v>4074</v>
      </c>
      <c r="U15" s="182">
        <v>4148</v>
      </c>
      <c r="V15" s="182">
        <v>4034</v>
      </c>
      <c r="W15" s="182">
        <v>439</v>
      </c>
      <c r="X15" s="188">
        <v>2641</v>
      </c>
      <c r="Y15" s="201">
        <v>0</v>
      </c>
      <c r="Z15" s="182">
        <v>0</v>
      </c>
      <c r="AA15" s="182">
        <v>0</v>
      </c>
      <c r="AB15" s="182">
        <v>0</v>
      </c>
      <c r="AC15" s="182">
        <v>8</v>
      </c>
      <c r="AD15" s="182">
        <v>144</v>
      </c>
      <c r="AE15" s="182">
        <v>152</v>
      </c>
      <c r="AF15" s="188">
        <v>0</v>
      </c>
      <c r="AG15" s="201">
        <v>0</v>
      </c>
      <c r="AH15" s="182">
        <v>0</v>
      </c>
      <c r="AI15" s="182">
        <v>0</v>
      </c>
      <c r="AJ15" s="202">
        <v>0</v>
      </c>
      <c r="AK15" s="181">
        <v>0</v>
      </c>
      <c r="AL15" s="182">
        <v>42</v>
      </c>
      <c r="AM15" s="182">
        <v>42</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4164</v>
      </c>
      <c r="AZ15" s="129">
        <f t="shared" si="9"/>
        <v>4074</v>
      </c>
      <c r="BA15" s="129">
        <f t="shared" si="9"/>
        <v>4148</v>
      </c>
      <c r="BB15" s="129">
        <f t="shared" si="9"/>
        <v>4034</v>
      </c>
      <c r="BC15" s="125">
        <f>IF(ISNUMBER(W15),W15," - ")</f>
        <v>439</v>
      </c>
      <c r="BD15" s="126">
        <f>IF(ISNUMBER(BA15/AZ15),BA15/AZ15," - ")</f>
        <v>1.0181639666175748</v>
      </c>
      <c r="BE15" s="127">
        <f>IF(ISNUMBER(BB15/BA15),BB15/BA15, " - ")</f>
        <v>0.97251687560270006</v>
      </c>
      <c r="BF15" s="127">
        <f>IF(ISNUMBER(BC15/BA15),BC15/BA15, " - ")</f>
        <v>0.10583413693346191</v>
      </c>
      <c r="BG15" s="195">
        <f t="shared" ref="BG15:BG16" si="10">IF(ISNUMBER((AY15+AZ15)/BA15),(AY15+AZ15)/BA15," - ")</f>
        <v>1.9860173577627773</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462</v>
      </c>
      <c r="J17" s="182">
        <v>526</v>
      </c>
      <c r="K17" s="182">
        <v>485</v>
      </c>
      <c r="L17" s="182">
        <v>503</v>
      </c>
      <c r="M17" s="182">
        <v>58</v>
      </c>
      <c r="N17" s="182">
        <v>314</v>
      </c>
      <c r="O17" s="182">
        <v>0</v>
      </c>
      <c r="P17" s="182">
        <v>0</v>
      </c>
      <c r="Q17" s="182">
        <v>21</v>
      </c>
      <c r="R17" s="182">
        <v>41</v>
      </c>
      <c r="S17" s="182">
        <v>349</v>
      </c>
      <c r="T17" s="182">
        <v>618</v>
      </c>
      <c r="U17" s="182">
        <v>401</v>
      </c>
      <c r="V17" s="182">
        <v>579</v>
      </c>
      <c r="W17" s="182">
        <v>37</v>
      </c>
      <c r="X17" s="188">
        <v>201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349</v>
      </c>
      <c r="AZ17" s="129">
        <f t="shared" si="14"/>
        <v>618</v>
      </c>
      <c r="BA17" s="129">
        <f t="shared" si="14"/>
        <v>401</v>
      </c>
      <c r="BB17" s="129">
        <f t="shared" si="14"/>
        <v>579</v>
      </c>
      <c r="BC17" s="125">
        <f>IF(ISNUMBER(W17),W17," - ")</f>
        <v>37</v>
      </c>
      <c r="BD17" s="126">
        <f>IF(ISNUMBER(BA17/AZ17),BA17/AZ17," - ")</f>
        <v>0.64886731391585761</v>
      </c>
      <c r="BE17" s="127">
        <f>IF(ISNUMBER(BB17/BA17),BB17/BA17, " - ")</f>
        <v>1.4438902743142146</v>
      </c>
      <c r="BF17" s="127">
        <f>IF(ISNUMBER(BC17/BA17),BC17/BA17, " - ")</f>
        <v>9.2269326683291769E-2</v>
      </c>
      <c r="BG17" s="195">
        <f>IF(ISNUMBER((AY17+AZ17)/BA17),(AY17+AZ17)/BA17," - ")</f>
        <v>2.4114713216957604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5512</v>
      </c>
      <c r="J18" s="183">
        <f t="shared" si="15"/>
        <v>5377</v>
      </c>
      <c r="K18" s="183">
        <f t="shared" si="15"/>
        <v>5485</v>
      </c>
      <c r="L18" s="183">
        <f t="shared" si="15"/>
        <v>5514</v>
      </c>
      <c r="M18" s="183">
        <f t="shared" si="15"/>
        <v>442</v>
      </c>
      <c r="N18" s="183">
        <f t="shared" si="15"/>
        <v>3841</v>
      </c>
      <c r="O18" s="183">
        <f t="shared" si="15"/>
        <v>66</v>
      </c>
      <c r="P18" s="183">
        <f t="shared" si="15"/>
        <v>65</v>
      </c>
      <c r="Q18" s="183">
        <f t="shared" si="15"/>
        <v>157</v>
      </c>
      <c r="R18" s="183">
        <f t="shared" si="15"/>
        <v>289</v>
      </c>
      <c r="S18" s="183">
        <f t="shared" si="15"/>
        <v>4513</v>
      </c>
      <c r="T18" s="183">
        <f t="shared" si="15"/>
        <v>4692</v>
      </c>
      <c r="U18" s="183">
        <f t="shared" si="15"/>
        <v>4549</v>
      </c>
      <c r="V18" s="183">
        <f t="shared" si="15"/>
        <v>4613</v>
      </c>
      <c r="W18" s="183">
        <f t="shared" si="15"/>
        <v>476</v>
      </c>
      <c r="X18" s="183">
        <f t="shared" si="15"/>
        <v>2842</v>
      </c>
      <c r="Y18" s="183">
        <f t="shared" si="15"/>
        <v>0</v>
      </c>
      <c r="Z18" s="183">
        <f t="shared" si="15"/>
        <v>0</v>
      </c>
      <c r="AA18" s="183">
        <f t="shared" si="15"/>
        <v>0</v>
      </c>
      <c r="AB18" s="183">
        <f t="shared" si="15"/>
        <v>0</v>
      </c>
      <c r="AC18" s="183">
        <f t="shared" si="15"/>
        <v>8</v>
      </c>
      <c r="AD18" s="183">
        <f t="shared" si="15"/>
        <v>144</v>
      </c>
      <c r="AE18" s="183">
        <f t="shared" si="15"/>
        <v>152</v>
      </c>
      <c r="AF18" s="183">
        <f t="shared" si="15"/>
        <v>0</v>
      </c>
      <c r="AG18" s="183">
        <f t="shared" si="15"/>
        <v>0</v>
      </c>
      <c r="AH18" s="183">
        <f t="shared" si="15"/>
        <v>0</v>
      </c>
      <c r="AI18" s="183">
        <f t="shared" si="15"/>
        <v>0</v>
      </c>
      <c r="AJ18" s="183">
        <f t="shared" si="15"/>
        <v>0</v>
      </c>
      <c r="AK18" s="183">
        <f t="shared" si="15"/>
        <v>0</v>
      </c>
      <c r="AL18" s="183">
        <f t="shared" si="15"/>
        <v>42</v>
      </c>
      <c r="AM18" s="183">
        <f t="shared" si="15"/>
        <v>42</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4513</v>
      </c>
      <c r="AZ18" s="183">
        <f>SUBTOTAL(9,AZ14:AZ17)</f>
        <v>4692</v>
      </c>
      <c r="BA18" s="183">
        <f>SUBTOTAL(9,BA14:BA17)</f>
        <v>4549</v>
      </c>
      <c r="BB18" s="183">
        <f>SUBTOTAL(9,BB14:BB17)</f>
        <v>4613</v>
      </c>
      <c r="BC18" s="183">
        <f>SUBTOTAL(9,BC14:BC17)</f>
        <v>476</v>
      </c>
      <c r="BD18" s="204">
        <f>IF(ISNUMBER(BA18/AZ18),BA18/AZ18," - ")</f>
        <v>0.96952259164535382</v>
      </c>
      <c r="BE18" s="205">
        <f>IF(ISNUMBER(BB18/BA18),BB18/BA18, " - ")</f>
        <v>1.0140690261595955</v>
      </c>
      <c r="BF18" s="205">
        <f>IF(ISNUMBER(BC18/BA18),BC18/BA18, " - ")</f>
        <v>0.10463838206199165</v>
      </c>
      <c r="BG18" s="206">
        <f>IF(ISNUMBER((AY18+AZ18)/BA18),(AY18+AZ18)/BA18," - ")</f>
        <v>2.0235216531105737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16689</v>
      </c>
      <c r="J19" s="134">
        <f t="shared" si="18"/>
        <v>7689</v>
      </c>
      <c r="K19" s="134">
        <f t="shared" si="18"/>
        <v>7113</v>
      </c>
      <c r="L19" s="134">
        <f t="shared" si="18"/>
        <v>17375</v>
      </c>
      <c r="M19" s="134">
        <f t="shared" si="18"/>
        <v>1082</v>
      </c>
      <c r="N19" s="134">
        <f t="shared" si="18"/>
        <v>4615</v>
      </c>
      <c r="O19" s="134">
        <f t="shared" si="18"/>
        <v>799</v>
      </c>
      <c r="P19" s="134">
        <f t="shared" si="18"/>
        <v>884</v>
      </c>
      <c r="Q19" s="134">
        <f t="shared" si="18"/>
        <v>745</v>
      </c>
      <c r="R19" s="134">
        <f t="shared" si="18"/>
        <v>13008</v>
      </c>
      <c r="S19" s="134">
        <f t="shared" si="18"/>
        <v>15705</v>
      </c>
      <c r="T19" s="134">
        <f t="shared" si="18"/>
        <v>8659</v>
      </c>
      <c r="U19" s="134">
        <f t="shared" si="18"/>
        <v>7355</v>
      </c>
      <c r="V19" s="134">
        <f t="shared" si="18"/>
        <v>16989</v>
      </c>
      <c r="W19" s="134">
        <f t="shared" si="18"/>
        <v>1206</v>
      </c>
      <c r="X19" s="134">
        <f t="shared" si="18"/>
        <v>4014</v>
      </c>
      <c r="Y19" s="134">
        <f t="shared" si="18"/>
        <v>310</v>
      </c>
      <c r="Z19" s="134">
        <f t="shared" si="18"/>
        <v>138</v>
      </c>
      <c r="AA19" s="134">
        <f t="shared" si="18"/>
        <v>130</v>
      </c>
      <c r="AB19" s="134">
        <f t="shared" si="18"/>
        <v>318</v>
      </c>
      <c r="AC19" s="134">
        <f t="shared" si="18"/>
        <v>8</v>
      </c>
      <c r="AD19" s="134">
        <f t="shared" si="18"/>
        <v>144</v>
      </c>
      <c r="AE19" s="134">
        <f t="shared" si="18"/>
        <v>152</v>
      </c>
      <c r="AF19" s="134">
        <f t="shared" si="18"/>
        <v>0</v>
      </c>
      <c r="AG19" s="134">
        <f t="shared" si="18"/>
        <v>296</v>
      </c>
      <c r="AH19" s="134">
        <f t="shared" si="18"/>
        <v>143</v>
      </c>
      <c r="AI19" s="134">
        <f t="shared" si="18"/>
        <v>158</v>
      </c>
      <c r="AJ19" s="134">
        <f t="shared" si="18"/>
        <v>289</v>
      </c>
      <c r="AK19" s="134">
        <f t="shared" si="18"/>
        <v>0</v>
      </c>
      <c r="AL19" s="134">
        <f t="shared" si="18"/>
        <v>42</v>
      </c>
      <c r="AM19" s="134">
        <f t="shared" si="18"/>
        <v>42</v>
      </c>
      <c r="AN19" s="209">
        <f t="shared" si="18"/>
        <v>0</v>
      </c>
      <c r="AO19" s="210">
        <v>15</v>
      </c>
      <c r="AP19" s="210">
        <v>15</v>
      </c>
      <c r="AQ19" s="210">
        <v>15</v>
      </c>
      <c r="AR19" s="210">
        <v>15</v>
      </c>
      <c r="AS19" s="152">
        <f t="shared" si="18"/>
        <v>0</v>
      </c>
      <c r="AT19" s="152">
        <f t="shared" si="18"/>
        <v>0</v>
      </c>
      <c r="AU19" s="210"/>
      <c r="AV19" s="211"/>
      <c r="AW19" s="210"/>
      <c r="AX19" s="211"/>
      <c r="AY19" s="133">
        <f>SUBTOTAL(9,AY9:AY18)</f>
        <v>16001</v>
      </c>
      <c r="AZ19" s="134">
        <f>SUBTOTAL(9,AZ9:AZ18)</f>
        <v>8802</v>
      </c>
      <c r="BA19" s="134">
        <f>SUBTOTAL(9,BA9:BA18)</f>
        <v>7513</v>
      </c>
      <c r="BB19" s="134">
        <f>SUBTOTAL(9,BB9:BB18)</f>
        <v>17278</v>
      </c>
      <c r="BC19" s="135">
        <f>SUBTOTAL(9,BC9:BC18)</f>
        <v>1644</v>
      </c>
      <c r="BD19" s="212">
        <f>IF(ISNUMBER(BA19/AZ19),BA19/AZ19," - ")</f>
        <v>0.85355600999772774</v>
      </c>
      <c r="BE19" s="209">
        <f>IF(ISNUMBER(BB19/BA19),BB19/BA19, " - ")</f>
        <v>2.299747105017969</v>
      </c>
      <c r="BF19" s="209">
        <f>IF(ISNUMBER(BC19/BA19),BC19/BA19, " - ")</f>
        <v>0.21882071076800214</v>
      </c>
      <c r="BG19" s="135">
        <f>IF(ISNUMBER((AY19+AZ19)/BA19),(AY19+AZ19)/BA19," - ")</f>
        <v>3.3013443364834285</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AmGpVALYFsbFr5kEWPfWjm/3aES1hnOwhpg4MRSA68aJAnf+CwWxlJIruSCio1w8EEZ8co3p/F1zo2CrSLkhw==" saltValue="TNy7oGf1x536+0YFJjA3M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Q+rv/cHFkDCSGfrOAbEzPNZxsC8ENZkOzMkx/+Nu+Pbm5S3gOUaeUiy1jv2/FB9q9Urg8kKlhEaqA5IVmnW+w==" saltValue="LK95tCAdQShCGZv+ecK0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MARBELLA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138</v>
      </c>
      <c r="O9" s="333"/>
      <c r="P9" s="333"/>
      <c r="Q9" s="225">
        <f>IF(ISNUMBER(Datos!P9),Datos!P9,0)</f>
        <v>810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588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318</v>
      </c>
      <c r="AI9" s="333" t="str">
        <f>IF(ISNUMBER(Datos!CD9),Datos!CD9,"-")</f>
        <v>-</v>
      </c>
      <c r="AJ9" s="333" t="str">
        <f>IF(ISNUMBER(Datos!EN9),Datos!EN9," - ")</f>
        <v xml:space="preserve"> - </v>
      </c>
      <c r="AK9" s="333"/>
      <c r="AL9" s="478"/>
      <c r="AM9" s="334">
        <f>IF(ISNUMBER(Datos!R9),Datos!R9," - ")</f>
        <v>12677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624</v>
      </c>
      <c r="BD9" s="228">
        <f>IF(ISNUMBER(Datos!N9),Datos!N9," - ")</f>
        <v>766</v>
      </c>
      <c r="BE9" s="228" t="str">
        <f>IF(ISNUMBER(Datos!BW9),Datos!BW9," - ")</f>
        <v xml:space="preserve"> - </v>
      </c>
      <c r="BF9" s="227" t="str">
        <f>IF(ISNUMBER(Datos!BX9),Datos!BX9," - ")</f>
        <v xml:space="preserve"> - </v>
      </c>
      <c r="BG9" s="242">
        <f>IF(ISNUMBER(IF(J_V="SI",Datos!K9/Datos!J9,(Datos!K9+Datos!AA9)/(Datos!J9+Datos!Z9))),IF(J_V="SI",Datos!K9/Datos!J9,(Datos!K9+Datos!AA9)/(Datos!J9+Datos!Z9))," - ")</f>
        <v>0.71653543307086609</v>
      </c>
      <c r="BH9" s="259">
        <f>IF(ISNUMBER(((IF(J_V="SI",Datos!L9/Datos!K9,(Datos!L9+Datos!AB9)/(Datos!K9+Datos!AA9)))*11)/factor_trimestre),((IF(J_V="SI",Datos!L9/Datos!K9,(Datos!L9+Datos!AB9)/(Datos!K9+Datos!AA9)))*11)/factor_trimestre," - ")</f>
        <v>20.94274146905726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1.7824167001204337E-2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101</v>
      </c>
      <c r="G10" s="332">
        <f>IF(ISNUMBER(Datos!I10),Datos!I10," - ")</f>
        <v>101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0</v>
      </c>
      <c r="AD10" s="333"/>
      <c r="AE10" s="483"/>
      <c r="AF10" s="331">
        <f>IF(ISNUMBER(Datos!L10),Datos!L10,"-")</f>
        <v>109</v>
      </c>
      <c r="AG10" s="333"/>
      <c r="AH10" s="333"/>
      <c r="AI10" s="333"/>
      <c r="AJ10" s="333"/>
      <c r="AK10" s="333"/>
      <c r="AL10" s="478"/>
      <c r="AM10" s="334">
        <f>IF(ISNUMBER(Datos!R10),Datos!R10," - ")</f>
        <v>42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8</v>
      </c>
      <c r="BE10" s="228" t="str">
        <f>IF(ISNUMBER(Datos!BW10),Datos!BW10," - ")</f>
        <v xml:space="preserve"> - </v>
      </c>
      <c r="BF10" s="227" t="str">
        <f>IF(ISNUMBER(Datos!BX10),Datos!BX10," - ")</f>
        <v xml:space="preserve"> - </v>
      </c>
      <c r="BG10" s="242">
        <f>IF(ISNUMBER(Datos!K10/Datos!J10),Datos!K10/Datos!J10," - ")</f>
        <v>0.78378378378378377</v>
      </c>
      <c r="BH10" s="259">
        <f>IF(ISNUMBER(((Datos!L10/Datos!K10)*11)/factor_trimestre),((Datos!L10/Datos!K10)*11)/factor_trimestre," - ")</f>
        <v>11.275862068965518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0.27272727272727271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101</v>
      </c>
      <c r="G13" s="897">
        <f t="shared" si="0"/>
        <v>101</v>
      </c>
      <c r="H13" s="898">
        <f t="shared" si="0"/>
        <v>0</v>
      </c>
      <c r="I13" s="897">
        <f t="shared" si="0"/>
        <v>0</v>
      </c>
      <c r="J13" s="866">
        <f t="shared" si="0"/>
        <v>0</v>
      </c>
      <c r="K13" s="866">
        <f t="shared" si="0"/>
        <v>0</v>
      </c>
      <c r="L13" s="898">
        <f t="shared" si="0"/>
        <v>0</v>
      </c>
      <c r="M13" s="898">
        <f t="shared" si="0"/>
        <v>0</v>
      </c>
      <c r="N13" s="898">
        <f t="shared" si="0"/>
        <v>138</v>
      </c>
      <c r="O13" s="899">
        <f t="shared" si="0"/>
        <v>0</v>
      </c>
      <c r="P13" s="899">
        <f t="shared" si="0"/>
        <v>0</v>
      </c>
      <c r="Q13" s="898">
        <f t="shared" si="0"/>
        <v>819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588</v>
      </c>
      <c r="AD13" s="898">
        <f t="shared" si="1"/>
        <v>0</v>
      </c>
      <c r="AE13" s="898">
        <f t="shared" si="1"/>
        <v>0</v>
      </c>
      <c r="AF13" s="898">
        <f t="shared" si="1"/>
        <v>109</v>
      </c>
      <c r="AG13" s="898">
        <f t="shared" si="1"/>
        <v>0</v>
      </c>
      <c r="AH13" s="898">
        <f t="shared" si="1"/>
        <v>318</v>
      </c>
      <c r="AI13" s="898">
        <f t="shared" si="1"/>
        <v>0</v>
      </c>
      <c r="AJ13" s="898">
        <f t="shared" si="1"/>
        <v>0</v>
      </c>
      <c r="AK13" s="898">
        <f t="shared" si="1"/>
        <v>0</v>
      </c>
      <c r="AL13" s="898">
        <f t="shared" si="1"/>
        <v>0</v>
      </c>
      <c r="AM13" s="898">
        <f t="shared" si="1"/>
        <v>12719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640</v>
      </c>
      <c r="BD13" s="898">
        <f t="shared" si="1"/>
        <v>774</v>
      </c>
      <c r="BE13" s="898">
        <f t="shared" si="1"/>
        <v>0</v>
      </c>
      <c r="BF13" s="898">
        <f t="shared" si="1"/>
        <v>0</v>
      </c>
      <c r="BG13" s="898">
        <f>IF(ISNUMBER(Datos!K13/Datos!J13),Datos!K13/Datos!J13," - ")</f>
        <v>0.70415224913494812</v>
      </c>
      <c r="BH13" s="902">
        <f>IF(ISNUMBER(((Datos!L13/Datos!K13)*11)/factor_trimestre),((Datos!L13/Datos!K13)*11)/factor_trimestre," - ")</f>
        <v>21.856879606879605</v>
      </c>
      <c r="BI13" s="898">
        <f>IF(ISNUMBER('Resol  Asuntos'!D13/NºAsuntos!G13),'Resol  Asuntos'!D13/NºAsuntos!G13," - ")</f>
        <v>0.36405005688282138</v>
      </c>
      <c r="BJ13" s="898" t="str">
        <f>IF(ISNUMBER(Datos!CI13/Datos!CJ13),Datos!CI13/Datos!CJ13," - ")</f>
        <v xml:space="preserve"> - </v>
      </c>
      <c r="BK13" s="898">
        <f>SUBTOTAL(9,BK8:BK12)</f>
        <v>0</v>
      </c>
      <c r="BL13" s="898">
        <f>IF(ISNUMBER((I13-AB13+L13)/(F13)),(I13-AB13+L13)/(F13)," - ")</f>
        <v>-0.28712871287128711</v>
      </c>
      <c r="BM13" s="903">
        <f>SUBTOTAL(9,BM9:BM12)</f>
        <v>0.29055143972847702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5160</v>
      </c>
      <c r="G15" s="597">
        <f>IF(ISNUMBER(IF(D_I="SI",Datos!I15,Datos!I15+Datos!AC15)),IF(D_I="SI",Datos!I15,Datos!I15+Datos!AC15)," - ")</f>
        <v>5050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5000</v>
      </c>
      <c r="AC15" s="225">
        <f>IF(ISNUMBER(Datos!Q15),Datos!Q15," - ")</f>
        <v>136</v>
      </c>
      <c r="AD15" s="333"/>
      <c r="AE15" s="483"/>
      <c r="AF15" s="595">
        <f>IF(ISNUMBER(IF(D_I="SI",Datos!L15,Datos!L15+Datos!AF15)),IF(D_I="SI",Datos!L15,Datos!L15+Datos!AF15)," - ")</f>
        <v>5011</v>
      </c>
      <c r="AG15" s="333"/>
      <c r="AH15" s="333"/>
      <c r="AI15" s="333"/>
      <c r="AJ15" s="333"/>
      <c r="AK15" s="333"/>
      <c r="AL15" s="478"/>
      <c r="AM15" s="334">
        <f>IF(ISNUMBER(Datos!R15),Datos!R15," - ")</f>
        <v>248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384</v>
      </c>
      <c r="BD15" s="228">
        <f>IF(ISNUMBER(Datos!N15),Datos!N15," - ")</f>
        <v>3527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1.0307153164296021</v>
      </c>
      <c r="BH15" s="259">
        <f>IF(ISNUMBER(((IF(D_I="SI",Datos!L15/Datos!K15,(Datos!L15+Datos!AF15)/(Datos!K15+Datos!AE15)))*11)/factor_trimestre),((IF(D_I="SI",Datos!L15/Datos!K15,(Datos!L15+Datos!AF15)/(Datos!K15+Datos!AE15)))*11)/factor_trimestre," - ")</f>
        <v>3.0066000000000002</v>
      </c>
      <c r="BI15" s="242">
        <f>IF(ISNUMBER('Resol  Asuntos'!D15/NºAsuntos!G15),'Resol  Asuntos'!D15/NºAsuntos!G15," - ")</f>
        <v>7.6799999999999993E-2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462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485</v>
      </c>
      <c r="AC17" s="225">
        <f>IF(ISNUMBER(Datos!Q17),Datos!Q17," - ")</f>
        <v>21</v>
      </c>
      <c r="AD17" s="333"/>
      <c r="AE17" s="483"/>
      <c r="AF17" s="331">
        <f>IF(ISNUMBER(Datos!L17),Datos!L17,"-")</f>
        <v>503</v>
      </c>
      <c r="AG17" s="333"/>
      <c r="AH17" s="333"/>
      <c r="AI17" s="333"/>
      <c r="AJ17" s="333"/>
      <c r="AK17" s="333"/>
      <c r="AL17" s="478"/>
      <c r="AM17" s="334">
        <f>IF(ISNUMBER(Datos!R17),Datos!R17," - ")</f>
        <v>41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58</v>
      </c>
      <c r="BD17" s="228">
        <f>IF(ISNUMBER(Datos!N17),Datos!N17," - ")</f>
        <v>314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0.92205323193916355</v>
      </c>
      <c r="BH17" s="259">
        <f>IF(ISNUMBER(((IF(D_I="SI",Datos!L17/Datos!K17,(Datos!L17+Datos!AF17)/(Datos!K17+Datos!AE17)))*11)/factor_trimestre),((IF(D_I="SI",Datos!L17/Datos!K17,(Datos!L17+Datos!AF17)/(Datos!K17+Datos!AE17)))*11)/factor_trimestre," - ")</f>
        <v>3.1113402061855671</v>
      </c>
      <c r="BI17" s="242">
        <f>IF(ISNUMBER('Resol  Asuntos'!D17/NºAsuntos!G17),'Resol  Asuntos'!D17/NºAsuntos!G17," - ")</f>
        <v>0.11958762886597939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5160</v>
      </c>
      <c r="G18" s="897">
        <f>SUBTOTAL(9,G15:G17)</f>
        <v>5512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5485</v>
      </c>
      <c r="AC18" s="898">
        <f t="shared" si="4"/>
        <v>157</v>
      </c>
      <c r="AD18" s="898">
        <f t="shared" si="4"/>
        <v>0</v>
      </c>
      <c r="AE18" s="898">
        <f t="shared" si="4"/>
        <v>0</v>
      </c>
      <c r="AF18" s="898">
        <f t="shared" si="4"/>
        <v>5514</v>
      </c>
      <c r="AG18" s="898">
        <f t="shared" si="4"/>
        <v>0</v>
      </c>
      <c r="AH18" s="898">
        <f t="shared" si="4"/>
        <v>0</v>
      </c>
      <c r="AI18" s="898">
        <f t="shared" si="4"/>
        <v>0</v>
      </c>
      <c r="AJ18" s="898">
        <f t="shared" si="4"/>
        <v>0</v>
      </c>
      <c r="AK18" s="898">
        <f t="shared" si="4"/>
        <v>0</v>
      </c>
      <c r="AL18" s="898">
        <f t="shared" si="4"/>
        <v>0</v>
      </c>
      <c r="AM18" s="898">
        <f t="shared" si="4"/>
        <v>289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442</v>
      </c>
      <c r="BD18" s="898">
        <f t="shared" si="4"/>
        <v>3841</v>
      </c>
      <c r="BE18" s="898">
        <f t="shared" si="4"/>
        <v>0</v>
      </c>
      <c r="BF18" s="898">
        <f t="shared" si="4"/>
        <v>0</v>
      </c>
      <c r="BG18" s="898">
        <f>IF(ISNUMBER(Datos!K18/Datos!J18),Datos!K18/Datos!J18," - ")</f>
        <v>1.0200855495629533</v>
      </c>
      <c r="BH18" s="902">
        <f>IF(ISNUMBER(((Datos!L18/Datos!K18)*11)/factor_trimestre),((Datos!L18/Datos!K18)*11)/factor_trimestre," - ")</f>
        <v>3.0158614402917046</v>
      </c>
      <c r="BI18" s="898">
        <f>SUBTOTAL(9,BI15:BI17)</f>
        <v>0.19638762886597938</v>
      </c>
      <c r="BJ18" s="898">
        <f>SUBTOTAL(9,BJ15:BJ17)</f>
        <v>0</v>
      </c>
      <c r="BK18" s="898">
        <f>SUBTOTAL(9,BK15:BK17)</f>
        <v>0</v>
      </c>
      <c r="BL18" s="898">
        <f>IF(ISNUMBER((I18-AB18+L18)/(F18)),(I18-AB18+L18)/(F18)," - ")</f>
        <v>-1.0629844961240309</v>
      </c>
      <c r="BM18" s="904">
        <f>IF(ISNUMBER((Datos!P18-Datos!Q18)/(Datos!R18-Datos!P18+Datos!Q18)),(Datos!P18-Datos!Q18)/(Datos!R18-Datos!P18+Datos!Q18)," - ")</f>
        <v>-0.24146981627296588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17</v>
      </c>
      <c r="F19" s="819">
        <f t="shared" si="6"/>
        <v>5261</v>
      </c>
      <c r="G19" s="819">
        <f t="shared" si="6"/>
        <v>5613</v>
      </c>
      <c r="H19" s="821">
        <f t="shared" si="6"/>
        <v>0</v>
      </c>
      <c r="I19" s="819">
        <f t="shared" si="6"/>
        <v>0</v>
      </c>
      <c r="J19" s="821">
        <f t="shared" si="6"/>
        <v>0</v>
      </c>
      <c r="K19" s="821">
        <f t="shared" si="6"/>
        <v>0</v>
      </c>
      <c r="L19" s="880">
        <f t="shared" si="6"/>
        <v>0</v>
      </c>
      <c r="M19" s="880">
        <f t="shared" si="6"/>
        <v>0</v>
      </c>
      <c r="N19" s="880">
        <f t="shared" si="6"/>
        <v>138</v>
      </c>
      <c r="O19" s="880">
        <f t="shared" si="6"/>
        <v>0</v>
      </c>
      <c r="P19" s="880">
        <f t="shared" si="6"/>
        <v>0</v>
      </c>
      <c r="Q19" s="821">
        <f t="shared" si="6"/>
        <v>884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5514</v>
      </c>
      <c r="AC19" s="820">
        <f t="shared" si="7"/>
        <v>745</v>
      </c>
      <c r="AD19" s="820">
        <f t="shared" si="7"/>
        <v>0</v>
      </c>
      <c r="AE19" s="820">
        <f t="shared" si="7"/>
        <v>0</v>
      </c>
      <c r="AF19" s="827">
        <f t="shared" si="7"/>
        <v>5623</v>
      </c>
      <c r="AG19" s="827">
        <f t="shared" si="7"/>
        <v>0</v>
      </c>
      <c r="AH19" s="827">
        <f t="shared" si="7"/>
        <v>318</v>
      </c>
      <c r="AI19" s="827">
        <f t="shared" si="7"/>
        <v>0</v>
      </c>
      <c r="AJ19" s="820">
        <f t="shared" si="7"/>
        <v>0</v>
      </c>
      <c r="AK19" s="827">
        <f t="shared" si="7"/>
        <v>0</v>
      </c>
      <c r="AL19" s="827">
        <f t="shared" si="7"/>
        <v>0</v>
      </c>
      <c r="AM19" s="827">
        <f t="shared" si="7"/>
        <v>13008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1082</v>
      </c>
      <c r="BD19" s="819">
        <f t="shared" si="7"/>
        <v>4615</v>
      </c>
      <c r="BE19" s="819">
        <f t="shared" si="7"/>
        <v>0</v>
      </c>
      <c r="BF19" s="829">
        <f t="shared" si="7"/>
        <v>0</v>
      </c>
      <c r="BG19" s="914">
        <f>IF(ISNUMBER(Datos!K19/Datos!J19),Datos!K19/Datos!J19," - ")</f>
        <v>0.9250877877487319</v>
      </c>
      <c r="BH19" s="914">
        <f>IF(ISNUMBER(((Datos!L19/Datos!K19)*11)/factor_trimestre),((Datos!L19/Datos!K19)*11)/factor_trimestre," - ")</f>
        <v>7.3281315900463939</v>
      </c>
      <c r="BI19" s="812">
        <f>IF(ISNUMBER(Datos!J19/Datos!I19),Datos!J19/Datos!I19," - ")</f>
        <v>0.46072263167355743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-1.0480897167838814</v>
      </c>
      <c r="BM19" s="888">
        <f>IF(ISNUMBER((Datos!P19-Datos!Q19+R19)/(Datos!R19-Datos!P19+Datos!Q19-R19)),(Datos!P19-Datos!Q19+R19)/(Datos!R19-Datos!P19+Datos!Q19-R19)," - ")</f>
        <v>1.0801150050508974E-2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2245.1999999999998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3.833333333333333</v>
      </c>
      <c r="F21" s="550">
        <f>IF(ISNUMBER(STDEV(F8:F18)),STDEV(F8:F18),"-")</f>
        <v>2920.815011830317</v>
      </c>
      <c r="G21" s="551">
        <f>IF(ISNUMBER(STDEV(G8:G18)),STDEV(G8:G18),"-")</f>
        <v>2780.0123560876486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2783.8271857283094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270.16044615499635</v>
      </c>
      <c r="BD21" s="550"/>
      <c r="BE21" s="550">
        <f>IF(ISNUMBER(STDEV(BE8:BE18)),STDEV(BE8:BE18),"-")</f>
        <v>0</v>
      </c>
      <c r="BF21" s="555">
        <f>IF(ISNUMBER(STDEV(BF8:BF18)),STDEV(BF8:BF18),"-")</f>
        <v>0</v>
      </c>
      <c r="BG21" s="774">
        <f>IF(ISNUMBER(STDEV(BG8:BG18)),STDEV(BG8:BG18),"-")</f>
        <v>0.14781826130123726</v>
      </c>
      <c r="BH21" s="775">
        <f>IF(ISNUMBER(STDEV(BH8:BH18)),STDEV(BH8:BH18),"-")</f>
        <v>9.0042200418890026</v>
      </c>
      <c r="BI21" s="248">
        <f>IF(ISNUMBER(STDEV(BI8:BI18)),STDEV(BI8:BI18),"-")</f>
        <v>0.12662786219908867</v>
      </c>
      <c r="BJ21" s="229" t="str">
        <f>IF(ISNUMBER(BL21/BM21),BL21/BM21," - ")</f>
        <v xml:space="preserve"> - </v>
      </c>
      <c r="BK21" s="574"/>
      <c r="BL21" s="558">
        <f>IF(ISNUMBER(STDEV(BL8:BL18)),STDEV(BL8:BL18),"-")</f>
        <v>0.54861288556081544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08tW8jYGG0Yj9reJy4q02/qeqZJWaJI2FNI+lHT1mO9fpcsbdRuP0YSKDm+uGSbbSAzfMFImpa0JvXqLUGFfOA==" saltValue="og7jksCtGOjHZeUCH2Iw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MARBELLA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810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588</v>
      </c>
      <c r="AA9" s="331" t="str">
        <f>IF(ISNUMBER(IF(J_V="SI",Datos!L9,Datos!L9+Datos!AB9)-IF(Monitorios="SI",Datos!CD9,0)),
                          IF(J_V="SI",Datos!L9,Datos!L9+Datos!AB9)-IF(Monitorios="SI",Datos!CD9,0),
                          " - ")</f>
        <v xml:space="preserve"> - </v>
      </c>
      <c r="AB9" s="333"/>
      <c r="AC9" s="333"/>
      <c r="AD9" s="483"/>
      <c r="AE9" s="483">
        <f>IF(ISNUMBER(Datos!R9),Datos!R9," - ")</f>
        <v>12677</v>
      </c>
      <c r="AF9" s="228" t="str">
        <f>IF(ISNUMBER(Datos!BV9),Datos!BV9," - ")</f>
        <v xml:space="preserve"> - </v>
      </c>
      <c r="AG9" s="224" t="str">
        <f>IF(ISNUMBER(Datos!DV9),Datos!DV9," - ")</f>
        <v xml:space="preserve"> - </v>
      </c>
      <c r="AH9" s="297"/>
      <c r="AI9" s="226"/>
      <c r="AJ9" s="224">
        <f>IF(ISNUMBER(Datos!M9),Datos!M9," - ")</f>
        <v>624</v>
      </c>
      <c r="AK9" s="228">
        <f>IF(ISNUMBER(Datos!N9),Datos!N9," - ")</f>
        <v>766</v>
      </c>
      <c r="AL9" s="228" t="str">
        <f>IF(ISNUMBER(Datos!BW9),Datos!BW9," - ")</f>
        <v xml:space="preserve"> - </v>
      </c>
      <c r="AM9" s="227" t="str">
        <f>IF(ISNUMBER(Datos!BX9),Datos!BX9," - ")</f>
        <v xml:space="preserve"> - </v>
      </c>
      <c r="AN9" s="242"/>
      <c r="AO9" s="259">
        <f>IF(ISNUMBER(((NºAsuntos!I9/NºAsuntos!G9)*11)/factor_trimestre),((NºAsuntos!I9/NºAsuntos!G9)*11)/factor_trimestre," - ")</f>
        <v>20.94274146905726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1.7824167001204337E-2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101</v>
      </c>
      <c r="G10" s="224">
        <f>IF(ISNUMBER(Datos!I10),Datos!I10," - ")</f>
        <v>101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0</v>
      </c>
      <c r="AA10" s="331">
        <f>IF(ISNUMBER(Datos!L10),Datos!L10,"-")</f>
        <v>109</v>
      </c>
      <c r="AB10" s="333"/>
      <c r="AC10" s="333"/>
      <c r="AD10" s="483"/>
      <c r="AE10" s="483">
        <f>IF(ISNUMBER(Datos!R10),Datos!R10," - ")</f>
        <v>42</v>
      </c>
      <c r="AF10" s="228" t="str">
        <f>IF(ISNUMBER(Datos!BV10),Datos!BV10," - ")</f>
        <v xml:space="preserve"> - </v>
      </c>
      <c r="AG10" s="224" t="str">
        <f>IF(ISNUMBER(Datos!DV10),Datos!DV10," - ")</f>
        <v xml:space="preserve"> - </v>
      </c>
      <c r="AH10" s="297"/>
      <c r="AI10" s="226"/>
      <c r="AJ10" s="224">
        <f>IF(ISNUMBER(Datos!M10),Datos!M10," - ")</f>
        <v>16</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11.275862068965518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0.27272727272727271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101</v>
      </c>
      <c r="G13" s="897">
        <f>SUBTOTAL(9,G8:G12)</f>
        <v>101</v>
      </c>
      <c r="H13" s="907"/>
      <c r="I13" s="897">
        <f t="shared" ref="I13:N13" si="0">SUBTOTAL(9,I8:I12)</f>
        <v>0</v>
      </c>
      <c r="J13" s="866">
        <f t="shared" si="0"/>
        <v>0</v>
      </c>
      <c r="K13" s="907">
        <f t="shared" si="0"/>
        <v>0</v>
      </c>
      <c r="L13" s="907">
        <f t="shared" si="0"/>
        <v>0</v>
      </c>
      <c r="M13" s="907">
        <f t="shared" si="0"/>
        <v>0</v>
      </c>
      <c r="N13" s="907">
        <f t="shared" si="0"/>
        <v>819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588</v>
      </c>
      <c r="AA13" s="899">
        <f t="shared" si="2"/>
        <v>109</v>
      </c>
      <c r="AB13" s="899">
        <f t="shared" si="2"/>
        <v>0</v>
      </c>
      <c r="AC13" s="899">
        <f t="shared" si="2"/>
        <v>0</v>
      </c>
      <c r="AD13" s="899">
        <f t="shared" si="2"/>
        <v>0</v>
      </c>
      <c r="AE13" s="899">
        <f t="shared" si="2"/>
        <v>12719</v>
      </c>
      <c r="AF13" s="907">
        <f t="shared" si="2"/>
        <v>0</v>
      </c>
      <c r="AG13" s="907">
        <f t="shared" si="2"/>
        <v>0</v>
      </c>
      <c r="AH13" s="907">
        <f t="shared" si="2"/>
        <v>0</v>
      </c>
      <c r="AI13" s="907">
        <f t="shared" si="2"/>
        <v>0</v>
      </c>
      <c r="AJ13" s="907">
        <f t="shared" si="2"/>
        <v>640</v>
      </c>
      <c r="AK13" s="907">
        <f t="shared" si="2"/>
        <v>774</v>
      </c>
      <c r="AL13" s="907">
        <f t="shared" si="2"/>
        <v>0</v>
      </c>
      <c r="AM13" s="907">
        <f t="shared" si="2"/>
        <v>0</v>
      </c>
      <c r="AN13" s="907">
        <f t="shared" si="2"/>
        <v>0</v>
      </c>
      <c r="AO13" s="903">
        <f>IF(ISNUMBER(((NºAsuntos!I13/NºAsuntos!G13)*11)/factor_trimestre),((NºAsuntos!I13/NºAsuntos!G13)*11)/factor_trimestre," - ")</f>
        <v>20.783276450511948</v>
      </c>
      <c r="AP13" s="909" t="str">
        <f>IF(ISNUMBER(Datos!CI13/Datos!CJ13),Datos!CI13/Datos!CJ13," - ")</f>
        <v xml:space="preserve"> - </v>
      </c>
      <c r="AQ13" s="927">
        <f t="shared" ref="AQ13:AV13" si="3">SUBTOTAL(9,AQ9:AQ12)</f>
        <v>0</v>
      </c>
      <c r="AR13" s="927">
        <f t="shared" si="3"/>
        <v>0.29055143972847702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5160</v>
      </c>
      <c r="G15" s="224">
        <f>IF(ISNUMBER(IF(D_I="SI",Datos!I15,Datos!I15+Datos!AC15)),IF(D_I="SI",Datos!I15,Datos!I15+Datos!AC15)," - ")</f>
        <v>5050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5000</v>
      </c>
      <c r="Z15" s="618">
        <f>IF(ISNUMBER(Datos!Q15),Datos!Q15," - ")</f>
        <v>136</v>
      </c>
      <c r="AA15" s="331">
        <f>IF(ISNUMBER(IF(D_I="SI",Datos!L15,Datos!L15+Datos!AF15)),IF(D_I="SI",Datos!L15,Datos!L15+Datos!AF15)," - ")</f>
        <v>5011</v>
      </c>
      <c r="AB15" s="333"/>
      <c r="AC15" s="333"/>
      <c r="AD15" s="483"/>
      <c r="AE15" s="483">
        <f>IF(ISNUMBER(Datos!R15),Datos!R15," - ")</f>
        <v>248</v>
      </c>
      <c r="AF15" s="228" t="str">
        <f>IF(ISNUMBER(Datos!BV15),Datos!BV15," - ")</f>
        <v xml:space="preserve"> - </v>
      </c>
      <c r="AG15" s="224"/>
      <c r="AH15" s="297"/>
      <c r="AI15" s="226"/>
      <c r="AJ15" s="224">
        <f>IF(ISNUMBER(Datos!M15),Datos!M15," - ")</f>
        <v>384</v>
      </c>
      <c r="AK15" s="228">
        <f>IF(ISNUMBER(Datos!N15),Datos!N15," - ")</f>
        <v>3527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3.0066000000000002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462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485</v>
      </c>
      <c r="Z17" s="618">
        <f>IF(ISNUMBER(Datos!Q17),Datos!Q17," - ")</f>
        <v>21</v>
      </c>
      <c r="AA17" s="331">
        <f>IF(ISNUMBER(Datos!L17),Datos!L17,"-")</f>
        <v>503</v>
      </c>
      <c r="AB17" s="333"/>
      <c r="AC17" s="333"/>
      <c r="AD17" s="483"/>
      <c r="AE17" s="483">
        <f>IF(ISNUMBER(Datos!R17),Datos!R17," - ")</f>
        <v>41</v>
      </c>
      <c r="AF17" s="228" t="str">
        <f>IF(ISNUMBER(Datos!BV17),Datos!BV17," - ")</f>
        <v xml:space="preserve"> - </v>
      </c>
      <c r="AG17" s="224" t="str">
        <f>IF(ISNUMBER(Datos!DV17),Datos!DV17," - ")</f>
        <v xml:space="preserve"> - </v>
      </c>
      <c r="AH17" s="297"/>
      <c r="AI17" s="226"/>
      <c r="AJ17" s="224">
        <f>IF(ISNUMBER(Datos!M17),Datos!M17," - ")</f>
        <v>58</v>
      </c>
      <c r="AK17" s="228">
        <f>IF(ISNUMBER(Datos!N17),Datos!N17," - ")</f>
        <v>314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3.1113402061855671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5160</v>
      </c>
      <c r="G18" s="897">
        <f>SUBTOTAL(9,G15:G17)</f>
        <v>5512</v>
      </c>
      <c r="H18" s="931">
        <f>SUBTOTAL(9,H15:H17)</f>
        <v>0</v>
      </c>
      <c r="I18" s="910">
        <f>SUBTOTAL(9,I15:I17)</f>
        <v>0</v>
      </c>
      <c r="J18" s="866">
        <f>SUBTOTAL(9,J14:J17)</f>
        <v>0</v>
      </c>
      <c r="K18" s="931">
        <f t="shared" ref="K18:S18" si="4">SUBTOTAL(9,K15:K17)</f>
        <v>0</v>
      </c>
      <c r="L18" s="931">
        <f t="shared" si="4"/>
        <v>0</v>
      </c>
      <c r="M18" s="931">
        <f t="shared" si="4"/>
        <v>0</v>
      </c>
      <c r="N18" s="931">
        <f t="shared" si="4"/>
        <v>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5485</v>
      </c>
      <c r="Z18" s="931">
        <f t="shared" si="5"/>
        <v>157</v>
      </c>
      <c r="AA18" s="931">
        <f t="shared" si="5"/>
        <v>5514</v>
      </c>
      <c r="AB18" s="931">
        <f t="shared" si="5"/>
        <v>0</v>
      </c>
      <c r="AC18" s="931">
        <f t="shared" si="5"/>
        <v>0</v>
      </c>
      <c r="AD18" s="931">
        <f t="shared" si="5"/>
        <v>0</v>
      </c>
      <c r="AE18" s="931">
        <f t="shared" si="5"/>
        <v>289</v>
      </c>
      <c r="AF18" s="931">
        <f t="shared" si="5"/>
        <v>0</v>
      </c>
      <c r="AG18" s="931">
        <f t="shared" si="5"/>
        <v>0</v>
      </c>
      <c r="AH18" s="931">
        <f t="shared" si="5"/>
        <v>0</v>
      </c>
      <c r="AI18" s="931">
        <f t="shared" si="5"/>
        <v>0</v>
      </c>
      <c r="AJ18" s="931">
        <f t="shared" si="5"/>
        <v>442</v>
      </c>
      <c r="AK18" s="931">
        <f t="shared" si="5"/>
        <v>3841</v>
      </c>
      <c r="AL18" s="931">
        <f t="shared" si="5"/>
        <v>0</v>
      </c>
      <c r="AM18" s="931">
        <f t="shared" si="5"/>
        <v>0</v>
      </c>
      <c r="AN18" s="931">
        <f t="shared" si="5"/>
        <v>0</v>
      </c>
      <c r="AO18" s="933">
        <f>IF(ISNUMBER(((NºAsuntos!I18/NºAsuntos!G18)*11)/factor_trimestre),((NºAsuntos!I18/NºAsuntos!G18)*11)/factor_trimestre," - ")</f>
        <v>3.0158614402917046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5261</v>
      </c>
      <c r="G19" s="819">
        <f t="shared" si="7"/>
        <v>5613</v>
      </c>
      <c r="H19" s="820">
        <f t="shared" si="7"/>
        <v>0</v>
      </c>
      <c r="I19" s="819">
        <f t="shared" si="7"/>
        <v>0</v>
      </c>
      <c r="J19" s="821">
        <f t="shared" si="7"/>
        <v>0</v>
      </c>
      <c r="K19" s="819">
        <f t="shared" si="7"/>
        <v>0</v>
      </c>
      <c r="L19" s="822">
        <f t="shared" si="7"/>
        <v>0</v>
      </c>
      <c r="M19" s="819">
        <f t="shared" si="7"/>
        <v>0</v>
      </c>
      <c r="N19" s="820">
        <f t="shared" si="7"/>
        <v>884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5514</v>
      </c>
      <c r="Z19" s="826">
        <f t="shared" si="8"/>
        <v>745</v>
      </c>
      <c r="AA19" s="827">
        <f t="shared" si="8"/>
        <v>5623</v>
      </c>
      <c r="AB19" s="827">
        <f t="shared" si="8"/>
        <v>0</v>
      </c>
      <c r="AC19" s="827">
        <f t="shared" si="8"/>
        <v>0</v>
      </c>
      <c r="AD19" s="828">
        <f t="shared" si="8"/>
        <v>0</v>
      </c>
      <c r="AE19" s="828">
        <f t="shared" si="8"/>
        <v>13008</v>
      </c>
      <c r="AF19" s="829">
        <f t="shared" si="8"/>
        <v>0</v>
      </c>
      <c r="AG19" s="830">
        <f t="shared" si="8"/>
        <v>0</v>
      </c>
      <c r="AH19" s="831">
        <f t="shared" si="8"/>
        <v>0</v>
      </c>
      <c r="AI19" s="829">
        <f t="shared" si="8"/>
        <v>0</v>
      </c>
      <c r="AJ19" s="819">
        <f t="shared" si="8"/>
        <v>1082</v>
      </c>
      <c r="AK19" s="819">
        <f t="shared" si="8"/>
        <v>4615</v>
      </c>
      <c r="AL19" s="819">
        <f t="shared" si="8"/>
        <v>0</v>
      </c>
      <c r="AM19" s="832">
        <f t="shared" si="8"/>
        <v>0</v>
      </c>
      <c r="AN19" s="822">
        <f>IF(ISNUMBER(Datos!K19/Datos!J19),Datos!K19/Datos!J19," - ")</f>
        <v>0.9250877877487319</v>
      </c>
      <c r="AO19" s="822">
        <f>IF(ISNUMBER(FIND("06",Criterios!A8,1)),(IF(ISNUMBER(((Datos!R19/Datos!Q19)*11)/factor_trimestre),((Datos!R19/Datos!Q19)*11)/factor_trimestre," - ")),(IF(ISNUMBER(((Datos!L19/Datos!K19)*11)/factor_trimestre),((Datos!L19/Datos!K19)*11)/factor_trimestre," - ")))</f>
        <v>7.3281315900463939</v>
      </c>
      <c r="AP19" s="833" t="str">
        <f>IF(ISNUMBER(Datos!CI19/Datos!CJ19),Datos!CI19/Datos!CJ19," - ")</f>
        <v xml:space="preserve"> - </v>
      </c>
      <c r="AQ19" s="833">
        <f>IF(OR(ISNUMBER(FIND("01",Criterios!A8,1)),ISNUMBER(FIND("02",Criterios!A8,1)),ISNUMBER(FIND("03",Criterios!A8,1)),ISNUMBER(FIND("04",Criterios!A8,1))),(J19-Y19+K19)/(F19-K19),(I19-Y19+K19)/(F19-K19))</f>
        <v>-1.0480897167838814</v>
      </c>
      <c r="AR19" s="833">
        <f>IF(ISNUMBER((Datos!P19-Datos!Q19+O19)/(Datos!R19-Datos!P19+Datos!Q19-O19)),(Datos!P19-Datos!Q19+O19)/(Datos!R19-Datos!P19+Datos!Q19-O19)," - ")</f>
        <v>1.0801150050508974E-2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2245.1999999999998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2920.815011830317</v>
      </c>
      <c r="G21" s="551">
        <f>IF(ISNUMBER(STDEV(G8:G18)),STDEV(G8:G18),"-")</f>
        <v>2780.0123560876486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270.16044615499635</v>
      </c>
      <c r="AK21" s="251"/>
      <c r="AL21" s="251">
        <f>IF(ISNUMBER(STDEV(AL8:AL18)),STDEV(AL8:AL18),"-")</f>
        <v>0</v>
      </c>
      <c r="AM21" s="253">
        <f>IF(ISNUMBER(STDEV(AM8:AM18)),STDEV(AM8:AM18),"-")</f>
        <v>0</v>
      </c>
      <c r="AN21" s="538">
        <f>IF(ISNUMBER(STDEV(AN8:AN18)),STDEV(AN8:AN18),"-")</f>
        <v>0</v>
      </c>
      <c r="AO21" s="539">
        <f>IF(ISNUMBER(STDEV(AO8:AO18)),STDEV(AO8:AO18),"-")</f>
        <v>8.7410496541423974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uvJymwa+RGmRNl/gBPlRrmcQBti8D/xr+zaZf8ao4F4z2wllQuW2rzmxxqIaT4fAw8wozRl1oRUQW///E2gdg==" saltValue="lELqSXhksAn+fkVZvViA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xyo9TUr5fBh1SHgKB/MSUX6bbG4l61iEriuJ9cPefhR4zO/fuPS9V1pYr7od7YbkfVUany+eyAWYzgsTRWRew==" saltValue="IZ2TMBa+S8bT/HcypEOX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LO/DDHyo1hbHF0w5OfFRWgyxni0QoRUFI09HtBLhXZSWx6eAnEReqWxVY8WBkWBGJiouAHIc5yGyPBdWfv+pg==" saltValue="Zobi9sDzR5uSdPya5NEyI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MARBELLA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0.36405005688282138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0.2574222639131914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fb6ZuJak2Cpo9taz4beepQKdpoSBBT/mblMkc2F1fi+3VUdJ37NVjlAiukGxS1q+Dbu7ISDeYxpq2Dr/j8m4GA==" saltValue="uJXUFUW3X38FcSaf22Iv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qpaWX9Z8Qr2V5Opzwjhzo+CeC83J+XkFj4B+KzK06TgXTSqADeW2H1SpVHO9sI0JSamESPR2/mnKp787iqJQ==" saltValue="MpyKe+kysPZLGNJ81STU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MARBELLA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11386</v>
      </c>
      <c r="D9" s="403">
        <f>IF(ISNUMBER(C9/Datos!BH9),C9/Datos!BH9," - ")</f>
        <v>1423.25</v>
      </c>
      <c r="E9" s="402">
        <f>IF(ISNUMBER(IF(J_V="SI",Datos!J9,Datos!J9+Datos!Z9)),IF(J_V="SI",Datos!J9,Datos!J9+Datos!Z9)," - ")</f>
        <v>2413</v>
      </c>
      <c r="F9" s="403">
        <f>IF(ISNUMBER(E9/B9),E9/B9," - ")</f>
        <v>301.625</v>
      </c>
      <c r="G9" s="402">
        <f>IF(ISNUMBER(IF(J_V="SI",Datos!K9,Datos!K9+Datos!AA9)),IF(J_V="SI",Datos!K9,Datos!K9+Datos!AA9)," - ")</f>
        <v>1729</v>
      </c>
      <c r="H9" s="403">
        <f>IF(ISNUMBER(G9/B9),G9/B9," - ")</f>
        <v>216.125</v>
      </c>
      <c r="I9" s="402">
        <f>IF(ISNUMBER(IF(J_V="SI",Datos!L9,Datos!L9+Datos!AB9)),IF(J_V="SI",Datos!L9,Datos!L9+Datos!AB9)," - ")</f>
        <v>12070</v>
      </c>
      <c r="J9" s="403">
        <f>IF(ISNUMBER(I9/B9),I9/B9," - ")</f>
        <v>1508.75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101</v>
      </c>
      <c r="D10" s="403">
        <f>IF(ISNUMBER(C10/Datos!BH10),C10/Datos!BH10," - ")</f>
        <v>101</v>
      </c>
      <c r="E10" s="402">
        <f>IF(ISNUMBER(Datos!J10),Datos!J10," - ")</f>
        <v>37</v>
      </c>
      <c r="F10" s="403">
        <f>IF(ISNUMBER(E10/B10),E10/B10," - ")</f>
        <v>18.5</v>
      </c>
      <c r="G10" s="402">
        <f>IF(ISNUMBER(Datos!K10),Datos!K10," - ")</f>
        <v>29</v>
      </c>
      <c r="H10" s="403">
        <f>IF(ISNUMBER(G10/B10),G10/B10," - ")</f>
        <v>14.5</v>
      </c>
      <c r="I10" s="402">
        <f>IF(ISNUMBER(Datos!L10),Datos!L10," - ")</f>
        <v>109</v>
      </c>
      <c r="J10" s="403">
        <f>IF(ISNUMBER(I10/B10),I10/B10," - ")</f>
        <v>54.5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11487</v>
      </c>
      <c r="D13" s="849" t="str">
        <f>IF(ISNUMBER(C13/Datos!BI13),C13/Datos!BI13," - ")</f>
        <v xml:space="preserve"> - </v>
      </c>
      <c r="E13" s="848">
        <f>SUBTOTAL(9,E8:E12)</f>
        <v>2450</v>
      </c>
      <c r="F13" s="849">
        <f>IF(ISNUMBER(E13/B13),E13/B13," - ")</f>
        <v>245</v>
      </c>
      <c r="G13" s="848">
        <f>SUBTOTAL(9,G8:G12)</f>
        <v>1758</v>
      </c>
      <c r="H13" s="849">
        <f>IF(ISNUMBER(G13/B13),G13/B13," - ")</f>
        <v>175.8</v>
      </c>
      <c r="I13" s="848">
        <f>SUBTOTAL(9,I8:I12)</f>
        <v>12179</v>
      </c>
      <c r="J13" s="849">
        <f>IF(ISNUMBER(I13/B13),I13/B13," - ")</f>
        <v>1217.9000000000001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5050</v>
      </c>
      <c r="D15" s="403">
        <f>IF(ISNUMBER(C15/Datos!BH15),C15/Datos!BH15," - ")</f>
        <v>1010</v>
      </c>
      <c r="E15" s="402">
        <f>IF(ISNUMBER(IF(D_I="SI",Datos!J15,Datos!J15+Datos!AD15)),IF(D_I="SI",Datos!J15,Datos!J15+Datos!AD15)," - ")</f>
        <v>4851</v>
      </c>
      <c r="F15" s="403">
        <f>IF(ISNUMBER(E15/B15),E15/B15," - ")</f>
        <v>970.2</v>
      </c>
      <c r="G15" s="402">
        <f>IF(ISNUMBER(IF(D_I="SI",Datos!K15,Datos!K15+Datos!AE15)),IF(D_I="SI",Datos!K15,Datos!K15+Datos!AE15)," - ")</f>
        <v>5000</v>
      </c>
      <c r="H15" s="403">
        <f>IF(ISNUMBER(G15/B15),G15/B15," - ")</f>
        <v>1000</v>
      </c>
      <c r="I15" s="402">
        <f>IF(ISNUMBER(IF(D_I="SI",Datos!L15,Datos!L15+Datos!AF15)),IF(D_I="SI",Datos!L15,Datos!L15+Datos!AF15)," - ")</f>
        <v>5011</v>
      </c>
      <c r="J15" s="403">
        <f>IF(ISNUMBER(I15/B15),I15/B15," - ")</f>
        <v>1002.2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462</v>
      </c>
      <c r="D17" s="403">
        <f>IF(ISNUMBER(C17/Datos!BH17),C17/Datos!BH17," - ")</f>
        <v>462</v>
      </c>
      <c r="E17" s="402">
        <f>IF(ISNUMBER(IF(D_I="SI",Datos!J17,Datos!J17+Datos!AD17)),IF(D_I="SI",Datos!J17,Datos!J17+Datos!AD17)," - ")</f>
        <v>526</v>
      </c>
      <c r="F17" s="403">
        <f>IF(ISNUMBER(E17/B17),E17/B17," - ")</f>
        <v>263</v>
      </c>
      <c r="G17" s="402">
        <f>IF(ISNUMBER(IF(D_I="SI",Datos!K17,Datos!K17+Datos!AE17)),IF(D_I="SI",Datos!K17,Datos!K17+Datos!AE17)," - ")</f>
        <v>485</v>
      </c>
      <c r="H17" s="403">
        <f>IF(ISNUMBER(G17/B17),G17/B17," - ")</f>
        <v>242.5</v>
      </c>
      <c r="I17" s="402">
        <f>IF(ISNUMBER(IF(D_I="SI",Datos!L17,Datos!L17+Datos!AF17)),IF(D_I="SI",Datos!L17,Datos!L17+Datos!AF17)," - ")</f>
        <v>503</v>
      </c>
      <c r="J17" s="403">
        <f>IF(ISNUMBER(I17/B17),I17/B17," - ")</f>
        <v>251.5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5512</v>
      </c>
      <c r="D18" s="849" t="str">
        <f>IF(ISNUMBER(C18/Datos!BI18),C18/Datos!BI18," - ")</f>
        <v xml:space="preserve"> - </v>
      </c>
      <c r="E18" s="848">
        <f>SUBTOTAL(9,E14:E17)</f>
        <v>5377</v>
      </c>
      <c r="F18" s="849">
        <f>IF(ISNUMBER(E18/B18),E18/B18," - ")</f>
        <v>768.14285714285711</v>
      </c>
      <c r="G18" s="848">
        <f>SUBTOTAL(9,G14:G17)</f>
        <v>5485</v>
      </c>
      <c r="H18" s="849">
        <f>IF(ISNUMBER(G18/B18),G18/B18," - ")</f>
        <v>783.57142857142856</v>
      </c>
      <c r="I18" s="848">
        <f>SUBTOTAL(9,I14:I17)</f>
        <v>5514</v>
      </c>
      <c r="J18" s="849">
        <f>IF(ISNUMBER(I18/B18),I18/B18," - ")</f>
        <v>787.71428571428567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16999</v>
      </c>
      <c r="D19" s="794" t="str">
        <f>IF(ISNUMBER(C19/Datos!BI19),C19/Datos!BI19," - ")</f>
        <v xml:space="preserve"> - </v>
      </c>
      <c r="E19" s="793">
        <f>SUBTOTAL(9,E9:E18)</f>
        <v>7827</v>
      </c>
      <c r="F19" s="794">
        <f>IF(ISNUMBER(E19/B19),E19/B19," - ")</f>
        <v>521.79999999999995</v>
      </c>
      <c r="G19" s="793">
        <f>SUBTOTAL(9,G9:G18)</f>
        <v>7243</v>
      </c>
      <c r="H19" s="794">
        <f>IF(ISNUMBER(G19/B19),G19/B19," - ")</f>
        <v>482.86666666666667</v>
      </c>
      <c r="I19" s="793">
        <f>SUBTOTAL(9,I9:I18)</f>
        <v>17693</v>
      </c>
      <c r="J19" s="794">
        <f>IF(ISNUMBER(I19/B19),I19/B19," - ")</f>
        <v>1179.5333333333333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WrfKkLXGezJjs0fTOc3JLsqP74d66UVptTAJTpu2qwvFvBSOt6PEoOfR0yb9TyEhbPde8nv5PKV50DgzaUxaw==" saltValue="mzrmCEmcnTQKkezbjWKo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MARBELLA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101</v>
      </c>
      <c r="G10" s="683">
        <f>IF(ISNUMBER(Datos!I10),Datos!I10," - ")</f>
        <v>101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109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11.275862068965518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101</v>
      </c>
      <c r="G13" s="937">
        <f t="shared" si="0"/>
        <v>101</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0</v>
      </c>
      <c r="AE13" s="938">
        <f t="shared" si="1"/>
        <v>0</v>
      </c>
      <c r="AF13" s="938">
        <f t="shared" si="1"/>
        <v>109</v>
      </c>
      <c r="AG13" s="938">
        <f t="shared" si="1"/>
        <v>0</v>
      </c>
      <c r="AH13" s="938">
        <f t="shared" si="1"/>
        <v>0</v>
      </c>
      <c r="AI13" s="938">
        <f t="shared" si="1"/>
        <v>0</v>
      </c>
      <c r="AJ13" s="938">
        <f t="shared" si="1"/>
        <v>0</v>
      </c>
      <c r="AK13" s="938">
        <f t="shared" si="1"/>
        <v>0</v>
      </c>
      <c r="AL13" s="938">
        <f t="shared" si="1"/>
        <v>16</v>
      </c>
      <c r="AM13" s="938">
        <f t="shared" si="1"/>
        <v>8</v>
      </c>
      <c r="AN13" s="938">
        <f t="shared" si="1"/>
        <v>0</v>
      </c>
      <c r="AO13" s="938">
        <f t="shared" si="1"/>
        <v>0</v>
      </c>
      <c r="AP13" s="943">
        <f>IF(ISNUMBER(((Datos!L13/Datos!K13)*11)/factor_trimestre),((Datos!L13/Datos!K13)*11)/factor_trimestre," - ")</f>
        <v>21.856879606879605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-0.28712871287128711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3.0158614402917046</v>
      </c>
      <c r="AQ18" s="943">
        <f>IF(ISNUMBER(((Datos!M18/Datos!L18)*11)/factor_trimestre),((Datos!M18/Datos!L18)*11)/factor_trimestre," - ")</f>
        <v>0.24047878128400438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-0.24146981627296588</v>
      </c>
      <c r="AW18" s="945">
        <f>IF(ISNUMBER((Datos!Q18-Datos!R18)/(Datos!S18-Datos!Q18+Datos!R18)),(Datos!Q18-Datos!R18)/(Datos!S18-Datos!Q18+Datos!R18)," - ")</f>
        <v>-2.8417653390742734E-2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101</v>
      </c>
      <c r="G19" s="950">
        <f t="shared" si="4"/>
        <v>101</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0</v>
      </c>
      <c r="AE19" s="956">
        <f t="shared" si="5"/>
        <v>0</v>
      </c>
      <c r="AF19" s="957">
        <f t="shared" si="5"/>
        <v>109</v>
      </c>
      <c r="AG19" s="957">
        <f t="shared" si="5"/>
        <v>0</v>
      </c>
      <c r="AH19" s="957">
        <f t="shared" si="5"/>
        <v>0</v>
      </c>
      <c r="AI19" s="957">
        <f t="shared" si="5"/>
        <v>0</v>
      </c>
      <c r="AJ19" s="958">
        <f t="shared" si="5"/>
        <v>0</v>
      </c>
      <c r="AK19" s="958">
        <f t="shared" si="5"/>
        <v>0</v>
      </c>
      <c r="AL19" s="950">
        <f t="shared" si="5"/>
        <v>16</v>
      </c>
      <c r="AM19" s="950">
        <f t="shared" si="5"/>
        <v>8</v>
      </c>
      <c r="AN19" s="950">
        <f t="shared" si="5"/>
        <v>0</v>
      </c>
      <c r="AO19" s="950">
        <f t="shared" si="5"/>
        <v>0</v>
      </c>
      <c r="AP19" s="950">
        <f>IF(ISNUMBER(((Datos!L19/Datos!K19)*11)/factor_trimestre),((Datos!L19/Datos!K19)*11)/factor_trimestre," - ")</f>
        <v>7.3281315900463939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-0.28712871287128711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1.0801150050508974E-2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4.5018514709691022</v>
      </c>
      <c r="F21" s="735">
        <f>IF(ISNUMBER(STDEV(F8:F18)),STDEV(F8:F18),"-")</f>
        <v>58.312377188152198</v>
      </c>
      <c r="G21" s="736">
        <f>IF(ISNUMBER(STDEV(G8:G18)),STDEV(G8:G18),"-")</f>
        <v>58.312377188152198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9.2376043070340135</v>
      </c>
      <c r="AM21" s="735"/>
      <c r="AN21" s="735">
        <f>IF(ISNUMBER(STDEV(AN8:AN18)),STDEV(AN8:AN18),"-")</f>
        <v>0</v>
      </c>
      <c r="AO21" s="741">
        <f>IF(ISNUMBER(STDEV(AO8:AO18)),STDEV(AO8:AO18),"-")</f>
        <v>0</v>
      </c>
      <c r="AP21" s="778">
        <f>IF(ISNUMBER(STDEV(AP8:AP18)),STDEV(AP8:AP18),"-")</f>
        <v>9.4443061160065529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XEMbflXQK6EPqhUgbcoaNz83x3pbgKF7qvK0UVszVOKFuvXh/rifzH67Xzj+0dA+WIqD29aFOBfYwfPl8UHww==" saltValue="XIYtYHYw5GtAkIDksHri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MARBELLA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1meZLoBA5eF0KMQOHYinCkDohRUk6c3k3GXK7+7/McUyd/CTrrmJm0sxLdRxf+F/uwf0S6Dw+71cpZQK4A+pQ==" saltValue="LxL10nFyMxVM/kdImW3+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MARBELLA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624</v>
      </c>
      <c r="E9" s="403">
        <f t="shared" ref="E9:E13" si="0">IF(ISNUMBER(D9/B9),D9/B9," - ")</f>
        <v>78</v>
      </c>
      <c r="F9" s="402">
        <f>IF(ISNUMBER(Datos!N9),Datos!N9," - ")</f>
        <v>766</v>
      </c>
      <c r="G9" s="403">
        <f t="shared" ref="G9:G13" si="1">IF(ISNUMBER(F9/B9),F9/B9," - ")</f>
        <v>95.75</v>
      </c>
      <c r="H9" s="402">
        <f>IF(ISNUMBER(Datos!O9),Datos!O9," - ")</f>
        <v>728</v>
      </c>
      <c r="I9" s="403">
        <f>IF(ISNUMBER(H9/B9),H9/B9," - ")</f>
        <v>91</v>
      </c>
      <c r="BZ9" s="1185">
        <f>Datos!EZ9</f>
        <v>0</v>
      </c>
    </row>
    <row r="10" spans="1:78">
      <c r="A10" s="401" t="str">
        <f>Datos!A10</f>
        <v>Jdos. Violencia contra la mujer/Secc Viol. TI.</v>
      </c>
      <c r="B10" s="426">
        <f>Datos!AO10</f>
        <v>2</v>
      </c>
      <c r="C10" s="409">
        <f>Datos!AQ10</f>
        <v>2</v>
      </c>
      <c r="D10" s="402">
        <f>IF(ISNUMBER(Datos!M10),Datos!M10," - ")</f>
        <v>16</v>
      </c>
      <c r="E10" s="403">
        <f>IF(ISNUMBER(D10/B10),D10/B10," - ")</f>
        <v>8</v>
      </c>
      <c r="F10" s="402">
        <f>IF(ISNUMBER(Datos!N10),Datos!N10," - ")</f>
        <v>8</v>
      </c>
      <c r="G10" s="403">
        <f>IF(ISNUMBER(F10/B10),F10/B10," - ")</f>
        <v>4</v>
      </c>
      <c r="H10" s="402">
        <f>IF(ISNUMBER(Datos!O10),Datos!O10," - ")</f>
        <v>5</v>
      </c>
      <c r="I10" s="403">
        <f t="shared" ref="I10:I12" si="2">IF(ISNUMBER(H10/B10),H10/B10," - ")</f>
        <v>2.5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640</v>
      </c>
      <c r="E13" s="849">
        <f t="shared" si="0"/>
        <v>64</v>
      </c>
      <c r="F13" s="848">
        <f>SUBTOTAL(9,F9:F12)</f>
        <v>774</v>
      </c>
      <c r="G13" s="849">
        <f t="shared" si="1"/>
        <v>77.400000000000006</v>
      </c>
      <c r="H13" s="848">
        <f>SUBTOTAL(9,H9:H12)</f>
        <v>733</v>
      </c>
      <c r="I13" s="849">
        <f>IF(ISNUMBER(H13/B13),H13/B13," - ")</f>
        <v>73.3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384</v>
      </c>
      <c r="E15" s="403">
        <f t="shared" ref="E15:E18" si="3">IF(ISNUMBER(D15/B15),D15/B15," - ")</f>
        <v>76.8</v>
      </c>
      <c r="F15" s="402">
        <f>IF(ISNUMBER(Datos!N15),Datos!N15," - ")</f>
        <v>3527</v>
      </c>
      <c r="G15" s="403">
        <f t="shared" ref="G15:G18" si="4">IF(ISNUMBER(F15/B15),F15/B15," - ")</f>
        <v>705.4</v>
      </c>
      <c r="H15" s="402">
        <f>IF(ISNUMBER(Datos!O15),Datos!O15," - ")</f>
        <v>66</v>
      </c>
      <c r="I15" s="403">
        <f t="shared" ref="I15:I17" si="5">IF(ISNUMBER(H15/B15),H15/B15," - ")</f>
        <v>13.2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58</v>
      </c>
      <c r="E17" s="403">
        <f>IF(ISNUMBER(D17/B17),D17/B17," - ")</f>
        <v>29</v>
      </c>
      <c r="F17" s="402">
        <f>IF(ISNUMBER(Datos!N17),Datos!N17," - ")</f>
        <v>314</v>
      </c>
      <c r="G17" s="403">
        <f>IF(ISNUMBER(F17/B17),F17/B17," - ")</f>
        <v>157</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442</v>
      </c>
      <c r="E18" s="849">
        <f t="shared" si="3"/>
        <v>63.142857142857146</v>
      </c>
      <c r="F18" s="848">
        <f>SUBTOTAL(9,F15:F17)</f>
        <v>3841</v>
      </c>
      <c r="G18" s="849">
        <f t="shared" si="4"/>
        <v>548.71428571428567</v>
      </c>
      <c r="H18" s="848">
        <f>SUBTOTAL(9,H15:H17)</f>
        <v>66</v>
      </c>
      <c r="I18" s="849">
        <f>IF(ISNUMBER(H18/B18),H18/B18," - ")</f>
        <v>9.4285714285714288</v>
      </c>
      <c r="BZ18" s="1185"/>
    </row>
    <row r="19" spans="1:78" ht="14.25" thickTop="1" thickBot="1">
      <c r="A19" s="792" t="str">
        <f>Datos!A19</f>
        <v>TOTAL JURISDICCIONES</v>
      </c>
      <c r="B19" s="793">
        <f>Datos!AP19</f>
        <v>15</v>
      </c>
      <c r="C19" s="793">
        <f>Datos!AR19</f>
        <v>15</v>
      </c>
      <c r="D19" s="793">
        <f>SUBTOTAL(9,D8:D18)</f>
        <v>1082</v>
      </c>
      <c r="E19" s="794">
        <f>IF(ISNUMBER(D19/B19),D19/B19," - ")</f>
        <v>72.13333333333334</v>
      </c>
      <c r="F19" s="793">
        <f>SUBTOTAL(9,F8:F18)</f>
        <v>4615</v>
      </c>
      <c r="G19" s="794">
        <f>IF(ISNUMBER(F19/B19),F19/B19," - ")</f>
        <v>307.66666666666669</v>
      </c>
      <c r="H19" s="793">
        <f>SUBTOTAL(9,H8:H18)</f>
        <v>799</v>
      </c>
      <c r="I19" s="794">
        <f>IF(ISNUMBER(H19/B19),H19/B19," - ")</f>
        <v>53.266666666666666</v>
      </c>
    </row>
    <row r="22" spans="1:78">
      <c r="A22" s="390" t="str">
        <f>Criterios!A4</f>
        <v>Fecha Informe: 17 mar. 2026</v>
      </c>
    </row>
    <row r="27" spans="1:78">
      <c r="A27" s="413"/>
    </row>
  </sheetData>
  <sheetProtection algorithmName="SHA-512" hashValue="E27tRdyBjTX9mRfQC10FKbv62W6yW/GsFkbcKv506IZM8QWvPzyznPW6OJDCQVHfuKvBSvMgC9BcVq1ZJgVbfQ==" saltValue="GBVaitx4nq7O1Rmhbyto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MARBELLA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810</v>
      </c>
      <c r="C9" s="433">
        <f>IF(ISNUMBER(Datos!Q9),Datos!Q9," - ")</f>
        <v>588</v>
      </c>
      <c r="D9" s="407">
        <f>IF(ISNUMBER(Datos!R9),Datos!R9," - ")</f>
        <v>12677</v>
      </c>
    </row>
    <row r="10" spans="1:4">
      <c r="A10" s="401" t="str">
        <f>Datos!A10</f>
        <v>Jdos. Violencia contra la mujer/Secc Viol. TI.</v>
      </c>
      <c r="B10" s="432">
        <f>IF(ISNUMBER(Datos!P10),Datos!P10," - ")</f>
        <v>9</v>
      </c>
      <c r="C10" s="433">
        <f>IF(ISNUMBER(Datos!Q10),Datos!Q10," - ")</f>
        <v>0</v>
      </c>
      <c r="D10" s="407">
        <f>IF(ISNUMBER(Datos!R10),Datos!R10," - ")</f>
        <v>42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819</v>
      </c>
      <c r="C13" s="852">
        <f>SUBTOTAL(9,C9:C12)</f>
        <v>588</v>
      </c>
      <c r="D13" s="850">
        <f>SUBTOTAL(9,D9:D12)</f>
        <v>12719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65</v>
      </c>
      <c r="C15" s="433">
        <f>IF(ISNUMBER(Datos!Q15),Datos!Q15," - ")</f>
        <v>136</v>
      </c>
      <c r="D15" s="407">
        <f>IF(ISNUMBER(Datos!R15),Datos!R15," - ")</f>
        <v>248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21</v>
      </c>
      <c r="D17" s="407">
        <f>IF(ISNUMBER(Datos!R17),Datos!R17," - ")</f>
        <v>41</v>
      </c>
    </row>
    <row r="18" spans="1:4" ht="14.25" thickTop="1" thickBot="1">
      <c r="A18" s="847" t="str">
        <f>Datos!A18</f>
        <v>TOTAL</v>
      </c>
      <c r="B18" s="848">
        <f>SUBTOTAL(9,B15:B17)</f>
        <v>65</v>
      </c>
      <c r="C18" s="852">
        <f>SUBTOTAL(9,C15:C17)</f>
        <v>157</v>
      </c>
      <c r="D18" s="850">
        <f>SUBTOTAL(9,D15:D17)</f>
        <v>289</v>
      </c>
    </row>
    <row r="19" spans="1:4" ht="16.5" customHeight="1" thickTop="1" thickBot="1">
      <c r="A19" s="792" t="str">
        <f>Datos!A19</f>
        <v>TOTAL JURISDICCIONES</v>
      </c>
      <c r="B19" s="797">
        <f>SUBTOTAL(9,B8:B18)</f>
        <v>884</v>
      </c>
      <c r="C19" s="798">
        <f>SUBTOTAL(9,C8:C18)</f>
        <v>745</v>
      </c>
      <c r="D19" s="799">
        <f>SUBTOTAL(9,D8:D18)</f>
        <v>13008</v>
      </c>
    </row>
    <row r="20" spans="1:4" ht="7.5" customHeight="1"/>
    <row r="21" spans="1:4" ht="6" customHeight="1"/>
    <row r="22" spans="1:4">
      <c r="A22" s="390" t="str">
        <f>Criterios!A4</f>
        <v>Fecha Informe: 17 mar. 2026</v>
      </c>
    </row>
    <row r="27" spans="1:4">
      <c r="A27" s="413"/>
    </row>
  </sheetData>
  <sheetProtection algorithmName="SHA-512" hashValue="z/RULORMg+uYAw1vONYCcBkiVjGXcr7b5dYc2jBH08QmF3KCO3toHj2FKPH56+Ei0gtd3Ar4xZ6grbQo1e64PA==" saltValue="pF96LFPP2vow54sFYfDV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MARBELLA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-2.9772329246935203E-3</v>
      </c>
      <c r="C9" s="455">
        <f>IF(ISNUMBER(
   IF(J_V="SI",(Datos!J9-Datos!T9)/Datos!T9,(Datos!J9+Datos!Z9-(Datos!T9+Datos!AH9))/(Datos!T9+Datos!AH9))
     ),IF(J_V="SI",(Datos!J9-Datos!T9)/Datos!T9,(Datos!J9+Datos!Z9-(Datos!T9+Datos!AH9))/(Datos!T9+Datos!AH9))," - ")</f>
        <v>-0.40610386413979815</v>
      </c>
      <c r="D9" s="455">
        <f>IF(ISNUMBER(
   IF(J_V="SI",(Datos!K9-Datos!U9)/Datos!U9,(Datos!K9+Datos!AA9-(Datos!U9+Datos!AI9))/(Datos!U9+Datos!AI9))
     ),IF(J_V="SI",(Datos!K9-Datos!U9)/Datos!U9,(Datos!K9+Datos!AA9-(Datos!U9+Datos!AI9))/(Datos!U9+Datos!AI9))," - ")</f>
        <v>-0.40868673050615595</v>
      </c>
      <c r="E9" s="455">
        <f>IF(ISNUMBER(
   IF(J_V="SI",(Datos!L9-Datos!V9)/Datos!V9,(Datos!L9+Datos!AB9-(Datos!V9+Datos!AJ9))/(Datos!V9+Datos!AJ9))
     ),IF(J_V="SI",(Datos!L9-Datos!V9)/Datos!V9,(Datos!L9+Datos!AB9-(Datos!V9+Datos!AJ9))/(Datos!V9+Datos!AJ9))," - ")</f>
        <v>-3.954802259887006E-2</v>
      </c>
      <c r="F9" s="455">
        <f>IF(ISNUMBER((Datos!M9-Datos!W9)/Datos!W9),(Datos!M9-Datos!W9)/Datos!W9," - ")</f>
        <v>-0.12482468443197756</v>
      </c>
      <c r="G9" s="456">
        <f>IF(ISNUMBER((Datos!N9-Datos!X9)/Datos!X9),(Datos!N9-Datos!X9)/Datos!X9," - ")</f>
        <v>-0.33449174630755862</v>
      </c>
      <c r="H9" s="454">
        <f>IF(ISNUMBER(((NºAsuntos!G9/NºAsuntos!E9)-Datos!BD9)/Datos!BD9),((NºAsuntos!G9/NºAsuntos!E9)-Datos!BD9)/Datos!BD9," - ")</f>
        <v>-4.3490203259476867E-3</v>
      </c>
      <c r="I9" s="455">
        <f>IF(ISNUMBER(((NºAsuntos!I9/NºAsuntos!G9)-Datos!BE9)/Datos!BE9),((NºAsuntos!I9/NºAsuntos!G9)-Datos!BE9)/Datos!BE9," - ")</f>
        <v>0.62426927814974187</v>
      </c>
      <c r="J9" s="460">
        <f>IF(ISNUMBER((('Resol  Asuntos'!D9/NºAsuntos!G9)-Datos!BF9)/Datos!BF9),(('Resol  Asuntos'!D9/NºAsuntos!G9)-Datos!BF9)/Datos!BF9," - ")</f>
        <v>-8.3164035196592712E-2</v>
      </c>
      <c r="K9" s="461">
        <f>IF(ISNUMBER((((NºAsuntos!C9+NºAsuntos!E9)/NºAsuntos!G9)-Datos!BG9)/Datos!BG9),(((NºAsuntos!C9+NºAsuntos!E9)/NºAsuntos!G9)-Datos!BG9)/Datos!BG9," - ")</f>
        <v>0.50721384864094865</v>
      </c>
    </row>
    <row r="10" spans="1:11" ht="21">
      <c r="A10" s="401" t="str">
        <f>Datos!A10</f>
        <v>Jdos. Violencia contra la mujer/Secc Viol. TI.</v>
      </c>
      <c r="B10" s="454">
        <f>IF(ISNUMBER((Datos!I10-Datos!S10)/Datos!S10),(Datos!I10-Datos!S10)/Datos!S10," - ")</f>
        <v>0.48529411764705882</v>
      </c>
      <c r="C10" s="455">
        <f>IF(ISNUMBER((Datos!J10-Datos!T10)/Datos!T10),(Datos!J10-Datos!T10)/Datos!T10," - ")</f>
        <v>-0.21276595744680851</v>
      </c>
      <c r="D10" s="455">
        <f>IF(ISNUMBER((Datos!K10-Datos!U10)/Datos!U10),(Datos!K10-Datos!U10)/Datos!U10," - ")</f>
        <v>-0.27500000000000002</v>
      </c>
      <c r="E10" s="455">
        <f>IF(ISNUMBER((Datos!L10-Datos!V10)/Datos!V10),(Datos!L10-Datos!V10)/Datos!V10," - ")</f>
        <v>0.11224489795918367</v>
      </c>
      <c r="F10" s="455">
        <f>IF(ISNUMBER((Datos!M10-Datos!W10)/Datos!W10),(Datos!M10-Datos!W10)/Datos!W10," - ")</f>
        <v>-5.8823529411764705E-2</v>
      </c>
      <c r="G10" s="456">
        <f>IF(ISNUMBER((Datos!N10-Datos!X10)/Datos!X10),(Datos!N10-Datos!X10)/Datos!X10," - ")</f>
        <v>-0.61904761904761907</v>
      </c>
      <c r="H10" s="454">
        <f>IF(ISNUMBER(((NºAsuntos!G10/NºAsuntos!E10)-Datos!BD10)/Datos!BD10),((NºAsuntos!G10/NºAsuntos!E10)-Datos!BD10)/Datos!BD10," - ")</f>
        <v>-7.9054054054054079E-2</v>
      </c>
      <c r="I10" s="455">
        <f>IF(ISNUMBER(((NºAsuntos!I10/NºAsuntos!G10)-Datos!BE10)/Datos!BE10),((NºAsuntos!I10/NºAsuntos!G10)-Datos!BE10)/Datos!BE10," - ")</f>
        <v>0.534130893736805</v>
      </c>
      <c r="J10" s="460">
        <f>IF(ISNUMBER((('Resol  Asuntos'!D10/NºAsuntos!G10)-Datos!BF10)/Datos!BF10),(('Resol  Asuntos'!D10/NºAsuntos!G10)-Datos!BF10)/Datos!BF10," - ")</f>
        <v>0.29817444219066941</v>
      </c>
      <c r="K10" s="461">
        <f>IF(ISNUMBER((((NºAsuntos!C10+NºAsuntos!E10)/NºAsuntos!G10)-Datos!BG10)/Datos!BG10),(((NºAsuntos!C10+NºAsuntos!E10)/NºAsuntos!G10)-Datos!BG10)/Datos!BG10," - ")</f>
        <v>0.65517241379310354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-8.7047353760445683E-5</v>
      </c>
      <c r="C13" s="854">
        <f>IF(ISNUMBER(
   IF(J_V="SI",(Datos!J13-Datos!T13)/Datos!T13,(Datos!J13+Datos!Z13-(Datos!T13+Datos!AH13))/(Datos!T13+Datos!AH13))
     ),IF(J_V="SI",(Datos!J13-Datos!T13)/Datos!T13,(Datos!J13+Datos!Z13-(Datos!T13+Datos!AH13))/(Datos!T13+Datos!AH13))," - ")</f>
        <v>-0.40389294403892945</v>
      </c>
      <c r="D13" s="854">
        <f>IF(ISNUMBER(
   IF(J_V="SI",(Datos!K13-Datos!U13)/Datos!U13,(Datos!K13+Datos!AA13-(Datos!U13+Datos!AI13))/(Datos!U13+Datos!AI13))
     ),IF(J_V="SI",(Datos!K13-Datos!U13)/Datos!U13,(Datos!K13+Datos!AA13-(Datos!U13+Datos!AI13))/(Datos!U13+Datos!AI13))," - ")</f>
        <v>-0.40688259109311742</v>
      </c>
      <c r="E13" s="854">
        <f>IF(ISNUMBER(
   IF(J_V="SI",(Datos!L13-Datos!V13)/Datos!V13,(Datos!L13+Datos!AB13-(Datos!V13+Datos!AJ13))/(Datos!V13+Datos!AJ13))
     ),IF(J_V="SI",(Datos!L13-Datos!V13)/Datos!V13,(Datos!L13+Datos!AB13-(Datos!V13+Datos!AJ13))/(Datos!V13+Datos!AJ13))," - ")</f>
        <v>-3.8373470193446509E-2</v>
      </c>
      <c r="F13" s="855">
        <f>IF(ISNUMBER((Datos!M13-Datos!W13)/Datos!W13),(Datos!M13-Datos!W13)/Datos!W13," - ")</f>
        <v>-0.12328767123287671</v>
      </c>
      <c r="G13" s="856">
        <f>IF(ISNUMBER((Datos!N13-Datos!X13)/Datos!X13),(Datos!N13-Datos!X13)/Datos!X13," - ")</f>
        <v>-0.33959044368600683</v>
      </c>
      <c r="H13" s="856">
        <f>IF(ISNUMBER(((NºAsuntos!G13/NºAsuntos!E13)-Datos!BD13)/Datos!BD13),((NºAsuntos!G13/NºAsuntos!E13)-Datos!BD13)/Datos!BD13," - ")</f>
        <v>-5.0152854664131585E-3</v>
      </c>
      <c r="I13" s="856">
        <f>IF(ISNUMBER(((NºAsuntos!I13/NºAsuntos!G13)-Datos!BE13)/Datos!BE13),((NºAsuntos!I13/NºAsuntos!G13)-Datos!BE13)/Datos!BE13," - ")</f>
        <v>0.62130889325746552</v>
      </c>
      <c r="J13" s="856">
        <f>IF(ISNUMBER((('Resol  Asuntos'!D13/NºAsuntos!G13)-Datos!BF13)/Datos!BF13),(('Resol  Asuntos'!D13/NºAsuntos!G13)-Datos!BF13)/Datos!BF13," - ")</f>
        <v>-7.6160643321333404E-2</v>
      </c>
      <c r="K13" s="856">
        <f>IF(ISNUMBER((((NºAsuntos!C13+NºAsuntos!E13)/NºAsuntos!G13)-Datos!BG13)/Datos!BG13),(((NºAsuntos!C13+NºAsuntos!E13)/NºAsuntos!G13)-Datos!BG13)/Datos!BG13," - ")</f>
        <v>0.50646731203396589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0.21277617675312199</v>
      </c>
      <c r="C15" s="455">
        <f>IF(ISNUMBER(
   IF(D_I="SI",(Datos!J15-Datos!T15)/Datos!T15,(Datos!J15+Datos!AD15-(Datos!T15+Datos!AL15))/(Datos!T15+Datos!AL15))
     ),IF(D_I="SI",(Datos!J15-Datos!T15)/Datos!T15,(Datos!J15+Datos!AD15-(Datos!T15+Datos!AL15))/(Datos!T15+Datos!AL15))," - ")</f>
        <v>0.19072164948453607</v>
      </c>
      <c r="D15" s="455">
        <f>IF(ISNUMBER(
   IF(D_I="SI",(Datos!K15-Datos!U15)/Datos!U15,(Datos!K15+Datos!AE15-(Datos!U15+Datos!AM15))/(Datos!U15+Datos!AM15))
     ),IF(D_I="SI",(Datos!K15-Datos!U15)/Datos!U15,(Datos!K15+Datos!AE15-(Datos!U15+Datos!AM15))/(Datos!U15+Datos!AM15))," - ")</f>
        <v>0.20540019286403086</v>
      </c>
      <c r="E15" s="455">
        <f>IF(ISNUMBER(
   IF(D_I="SI",(Datos!L15-Datos!V15)/Datos!V15,(Datos!L15+Datos!AF15-(Datos!V15+Datos!AN15))/(Datos!V15+Datos!AN15))
     ),IF(D_I="SI",(Datos!L15-Datos!V15)/Datos!V15,(Datos!L15+Datos!AF15-(Datos!V15+Datos!AN15))/(Datos!V15+Datos!AN15))," - ")</f>
        <v>0.24219137332672286</v>
      </c>
      <c r="F15" s="455">
        <f>IF(ISNUMBER((Datos!M15-Datos!W15)/Datos!W15),(Datos!M15-Datos!W15)/Datos!W15," - ")</f>
        <v>-0.12528473804100229</v>
      </c>
      <c r="G15" s="456">
        <f>IF(ISNUMBER((Datos!N15-Datos!X15)/Datos!X15),(Datos!N15-Datos!X15)/Datos!X15," - ")</f>
        <v>0.33547898523286634</v>
      </c>
      <c r="H15" s="454">
        <f>IF(ISNUMBER(((NºAsuntos!G15/NºAsuntos!E15)-Datos!BD15)/Datos!BD15),((NºAsuntos!G15/NºAsuntos!E15)-Datos!BD15)/Datos!BD15," - ")</f>
        <v>1.2327434699662325E-2</v>
      </c>
      <c r="I15" s="455">
        <f>IF(ISNUMBER(((NºAsuntos!I15/NºAsuntos!G15)-Datos!BE15)/Datos!BE15),((NºAsuntos!I15/NºAsuntos!G15)-Datos!BE15)/Datos!BE15," - ")</f>
        <v>3.0521963311849299E-2</v>
      </c>
      <c r="J15" s="460">
        <f>IF(ISNUMBER((('Resol  Asuntos'!D15/NºAsuntos!G15)-Datos!BF15)/Datos!BF15),(('Resol  Asuntos'!D15/NºAsuntos!G15)-Datos!BF15)/Datos!BF15," - ")</f>
        <v>-0.27433621867881558</v>
      </c>
      <c r="K15" s="461">
        <f>IF(ISNUMBER((((NºAsuntos!C15+NºAsuntos!E15)/NºAsuntos!G15)-Datos!BG15)/Datos!BG15),(((NºAsuntos!C15+NºAsuntos!E15)/NºAsuntos!G15)-Datos!BG15)/Datos!BG15," - ")</f>
        <v>-2.9291575625152349E-3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0.32378223495702008</v>
      </c>
      <c r="C17" s="455">
        <f>IF(ISNUMBER(
   IF(D_I="SI",(Datos!J17-Datos!T17)/Datos!T17,(Datos!J17+Datos!AD17-(Datos!T17+Datos!AL17))/(Datos!T17+Datos!AL17))
     ),IF(D_I="SI",(Datos!J17-Datos!T17)/Datos!T17,(Datos!J17+Datos!AD17-(Datos!T17+Datos!AL17))/(Datos!T17+Datos!AL17))," - ")</f>
        <v>-0.14886731391585761</v>
      </c>
      <c r="D17" s="455">
        <f>IF(ISNUMBER(
   IF(D_I="SI",(Datos!K17-Datos!U17)/Datos!U17,(Datos!K17+Datos!AE17-(Datos!U17+Datos!AM17))/(Datos!U17+Datos!AM17))
     ),IF(D_I="SI",(Datos!K17-Datos!U17)/Datos!U17,(Datos!K17+Datos!AE17-(Datos!U17+Datos!AM17))/(Datos!U17+Datos!AM17))," - ")</f>
        <v>0.20947630922693267</v>
      </c>
      <c r="E17" s="455">
        <f>IF(ISNUMBER(
   IF(D_I="SI",(Datos!L17-Datos!V17)/Datos!V17,(Datos!L17+Datos!AF17-(Datos!V17+Datos!AN17))/(Datos!V17+Datos!AN17))
     ),IF(D_I="SI",(Datos!L17-Datos!V17)/Datos!V17,(Datos!L17+Datos!AF17-(Datos!V17+Datos!AN17))/(Datos!V17+Datos!AN17))," - ")</f>
        <v>-0.13126079447322972</v>
      </c>
      <c r="F17" s="455">
        <f>IF(ISNUMBER((Datos!M17-Datos!W17)/Datos!W17),(Datos!M17-Datos!W17)/Datos!W17," - ")</f>
        <v>0.56756756756756754</v>
      </c>
      <c r="G17" s="456">
        <f>IF(ISNUMBER((Datos!N17-Datos!X17)/Datos!X17),(Datos!N17-Datos!X17)/Datos!X17," - ")</f>
        <v>0.56218905472636815</v>
      </c>
      <c r="H17" s="454">
        <f>IF(ISNUMBER(((NºAsuntos!G17/NºAsuntos!E17)-Datos!BD17)/Datos!BD17),((NºAsuntos!G17/NºAsuntos!E17)-Datos!BD17)/Datos!BD17," - ")</f>
        <v>0.42101969411073087</v>
      </c>
      <c r="I17" s="455">
        <f>IF(ISNUMBER(((NºAsuntos!I17/NºAsuntos!G17)-Datos!BE17)/Datos!BE17),((NºAsuntos!I17/NºAsuntos!G17)-Datos!BE17)/Datos!BE17," - ")</f>
        <v>-0.2817228424407528</v>
      </c>
      <c r="J17" s="460">
        <f>IF(ISNUMBER((('Resol  Asuntos'!D17/NºAsuntos!G17)-Datos!BF17)/Datos!BF17),(('Resol  Asuntos'!D17/NºAsuntos!G17)-Datos!BF17)/Datos!BF17," - ")</f>
        <v>0.29607132906101985</v>
      </c>
      <c r="K17" s="461">
        <f>IF(ISNUMBER((((NºAsuntos!C17+NºAsuntos!E17)/NºAsuntos!G17)-Datos!BG17)/Datos!BG17),(((NºAsuntos!C17+NºAsuntos!E17)/NºAsuntos!G17)-Datos!BG17)/Datos!BG17," - ")</f>
        <v>-0.15524046098572478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0.22136051407046312</v>
      </c>
      <c r="C18" s="854">
        <f>IF(ISNUMBER(
   IF(Criterios!B14="SI",(Datos!J18-Datos!T18)/Datos!T18,(Datos!J18+Datos!AD18-(Datos!T18+Datos!AL18))/(Datos!T18+Datos!AL18))
     ),IF(Criterios!B14="SI",(Datos!J18-Datos!T18)/Datos!T18,(Datos!J18+Datos!AD18-(Datos!T18+Datos!AL18))/(Datos!T18+Datos!AL18))," - ")</f>
        <v>0.14599317988064792</v>
      </c>
      <c r="D18" s="854">
        <f>IF(ISNUMBER(
   IF(Criterios!B14="SI",(Datos!K18-Datos!U18)/Datos!U18,(Datos!K18+Datos!AE18-(Datos!U18+Datos!AM18))/(Datos!U18+Datos!AM18))
     ),IF(Criterios!B14="SI",(Datos!K18-Datos!U18)/Datos!U18,(Datos!K18+Datos!AE18-(Datos!U18+Datos!AM18))/(Datos!U18+Datos!AM18))," - ")</f>
        <v>0.20575950758408443</v>
      </c>
      <c r="E18" s="854">
        <f>IF(ISNUMBER(
   IF(Criterios!B14="SI",(Datos!L18-Datos!V18)/Datos!V18,(Datos!L18+Datos!AF18-(Datos!V18+Datos!AN18))/(Datos!V18+Datos!AN18))
     ),IF(Criterios!B14="SI",(Datos!L18-Datos!V18)/Datos!V18,(Datos!L18+Datos!AF18-(Datos!V18+Datos!AN18))/(Datos!V18+Datos!AN18))," - ")</f>
        <v>0.1953175807500542</v>
      </c>
      <c r="F18" s="855">
        <f>IF(ISNUMBER((Datos!M18-Datos!W18)/Datos!W18),(Datos!M18-Datos!W18)/Datos!W18," - ")</f>
        <v>-7.1428571428571425E-2</v>
      </c>
      <c r="G18" s="856">
        <f>IF(ISNUMBER((Datos!N18-Datos!X18)/Datos!X18),(Datos!N18-Datos!X18)/Datos!X18," - ")</f>
        <v>0.35151301900070375</v>
      </c>
      <c r="H18" s="856">
        <f>IF(ISNUMBER(((NºAsuntos!G18/NºAsuntos!E18)-Datos!BD18)/Datos!BD18),((NºAsuntos!G18/NºAsuntos!E18)-Datos!BD18)/Datos!BD18," - ")</f>
        <v>5.2152428786409466E-2</v>
      </c>
      <c r="I18" s="856">
        <f>IF(ISNUMBER(((NºAsuntos!I18/NºAsuntos!G18)-Datos!BE18)/Datos!BE18),((NºAsuntos!I18/NºAsuntos!G18)-Datos!BE18)/Datos!BE18," - ")</f>
        <v>-8.6600410515958962E-3</v>
      </c>
      <c r="J18" s="856">
        <f>IF(ISNUMBER((('Resol  Asuntos'!D18/NºAsuntos!G18)-Datos!BF18)/Datos!BF18),(('Resol  Asuntos'!D18/NºAsuntos!G18)-Datos!BF18)/Datos!BF18," - ")</f>
        <v>-0.22988670399791641</v>
      </c>
      <c r="K18" s="856">
        <f>IF(ISNUMBER((((NºAsuntos!C18+NºAsuntos!E18)/NºAsuntos!G18)-Datos!BG18)/Datos!BG18),(((NºAsuntos!C18+NºAsuntos!E18)/NºAsuntos!G18)-Datos!BG18)/Datos!BG18," - ")</f>
        <v>-1.8922061401966849E-2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6.2371101806137114E-2</v>
      </c>
      <c r="C19" s="801">
        <f>IF(ISNUMBER(
   IF(J_V="SI",(Datos!J19-Datos!T19)/Datos!T19,(Datos!J19+Datos!Z19-(Datos!T19+Datos!AH19))/(Datos!T19+Datos!AH19))
     ),IF(J_V="SI",(Datos!J19-Datos!T19)/Datos!T19,(Datos!J19+Datos!Z19-(Datos!T19+Datos!AH19))/(Datos!T19+Datos!AH19))," - ")</f>
        <v>-0.11077027948193592</v>
      </c>
      <c r="D19" s="801">
        <f>IF(ISNUMBER(
   IF(J_V="SI",(Datos!K19-Datos!U19)/Datos!U19,(Datos!K19+Datos!AA19-(Datos!U19+Datos!AI19))/(Datos!U19+Datos!AI19))
     ),IF(J_V="SI",(Datos!K19-Datos!U19)/Datos!U19,(Datos!K19+Datos!AA19-(Datos!U19+Datos!AI19))/(Datos!U19+Datos!AI19))," - ")</f>
        <v>-3.5937707972847066E-2</v>
      </c>
      <c r="E19" s="801">
        <f>IF(ISNUMBER(
   IF(J_V="SI",(Datos!L19-Datos!V19)/Datos!V19,(Datos!L19+Datos!AB19-(Datos!V19+Datos!AJ19))/(Datos!V19+Datos!AJ19))
     ),IF(J_V="SI",(Datos!L19-Datos!V19)/Datos!V19,(Datos!L19+Datos!AB19-(Datos!V19+Datos!AJ19))/(Datos!V19+Datos!AJ19))," - ")</f>
        <v>2.4018983678666513E-2</v>
      </c>
      <c r="F19" s="802">
        <f>IF(ISNUMBER((Datos!M19-Datos!W19)/Datos!W19),(Datos!M19-Datos!W19)/Datos!W19," - ")</f>
        <v>-0.10281923714759536</v>
      </c>
      <c r="G19" s="803">
        <f>IF(ISNUMBER((Datos!N19-Datos!X19)/Datos!X19),(Datos!N19-Datos!X19)/Datos!X19," - ")</f>
        <v>0.14972595914299949</v>
      </c>
      <c r="H19" s="804">
        <f>IF(ISNUMBER((Tasas!B19-Datos!BD19)/Datos!BD19),(Tasas!B19-Datos!BD19)/Datos!BD19," - ")</f>
        <v>8.4154375165836307E-2</v>
      </c>
      <c r="I19" s="805">
        <f>IF(ISNUMBER((Tasas!C19-Datos!BE19)/Datos!BE19),(Tasas!C19-Datos!BE19)/Datos!BE19," - ")</f>
        <v>6.2191719505428858E-2</v>
      </c>
      <c r="J19" s="806">
        <f>IF(ISNUMBER((Tasas!D19-Datos!BF19)/Datos!BF19),(Tasas!D19-Datos!BF19)/Datos!BF19," - ")</f>
        <v>-0.31731501478229002</v>
      </c>
      <c r="K19" s="806">
        <f>IF(ISNUMBER((Tasas!E19-Datos!BG19)/Datos!BG19),(Tasas!E19-Datos!BG19)/Datos!BG19," - ")</f>
        <v>3.8239246009625916E-2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9YRFmZOM2/3Xc9NE784EOdSZsCD4tpwbB10vgwikwSfi/syopA8PEYMULjoV9cxNvV0xpu1u/f7goAW7O/I5A==" saltValue="xlalR5maOHY1XlKeaiCj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MARBELLA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0.71653543307086609</v>
      </c>
      <c r="C9" s="442">
        <f>IF(ISNUMBER(NºAsuntos!I9/NºAsuntos!G9),NºAsuntos!I9/NºAsuntos!G9," - ")</f>
        <v>6.9809138230190859</v>
      </c>
      <c r="D9" s="443">
        <f>IF(ISNUMBER('Resol  Asuntos'!D9/NºAsuntos!G9),'Resol  Asuntos'!D9/NºAsuntos!G9," - ")</f>
        <v>0.36090225563909772</v>
      </c>
      <c r="E9" s="444">
        <f>IF(ISNUMBER((NºAsuntos!C9+NºAsuntos!E9)/NºAsuntos!G9),(NºAsuntos!C9+NºAsuntos!E9)/NºAsuntos!G9," - ")</f>
        <v>7.9809138230190859</v>
      </c>
      <c r="G9" s="462"/>
    </row>
    <row r="10" spans="1:7" ht="21">
      <c r="A10" s="401" t="str">
        <f>Datos!A10</f>
        <v>Jdos. Violencia contra la mujer/Secc Viol. TI.</v>
      </c>
      <c r="B10" s="441">
        <f>IF(ISNUMBER(NºAsuntos!G10/NºAsuntos!E10),NºAsuntos!G10/NºAsuntos!E10," - ")</f>
        <v>0.78378378378378377</v>
      </c>
      <c r="C10" s="442">
        <f>IF(ISNUMBER(NºAsuntos!I10/NºAsuntos!G10),NºAsuntos!I10/NºAsuntos!G10," - ")</f>
        <v>3.7586206896551726</v>
      </c>
      <c r="D10" s="443">
        <f>IF(ISNUMBER('Resol  Asuntos'!D10/NºAsuntos!G10),'Resol  Asuntos'!D10/NºAsuntos!G10," - ")</f>
        <v>0.55172413793103448</v>
      </c>
      <c r="E10" s="444">
        <f>IF(ISNUMBER((NºAsuntos!C10+NºAsuntos!E10)/NºAsuntos!G10),(NºAsuntos!C10+NºAsuntos!E10)/NºAsuntos!G10," - ")</f>
        <v>4.7586206896551726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0.71755102040816332</v>
      </c>
      <c r="C13" s="858">
        <f>IF(ISNUMBER(NºAsuntos!I13/NºAsuntos!G13),NºAsuntos!I13/NºAsuntos!G13," - ")</f>
        <v>6.927758816837315</v>
      </c>
      <c r="D13" s="859">
        <f>IF(ISNUMBER('Resol  Asuntos'!D13/NºAsuntos!G13),'Resol  Asuntos'!D13/NºAsuntos!G13," - ")</f>
        <v>0.36405005688282138</v>
      </c>
      <c r="E13" s="860">
        <f>IF(ISNUMBER((NºAsuntos!C13+NºAsuntos!E13)/NºAsuntos!G13),(NºAsuntos!C13+NºAsuntos!E13)/NºAsuntos!G13," - ")</f>
        <v>7.927758816837315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1.0307153164296021</v>
      </c>
      <c r="C15" s="442">
        <f>IF(ISNUMBER(NºAsuntos!I15/NºAsuntos!G15),NºAsuntos!I15/NºAsuntos!G15," - ")</f>
        <v>1.0022</v>
      </c>
      <c r="D15" s="443">
        <f>IF(ISNUMBER('Resol  Asuntos'!D15/NºAsuntos!G15),'Resol  Asuntos'!D15/NºAsuntos!G15," - ")</f>
        <v>7.6799999999999993E-2</v>
      </c>
      <c r="E15" s="444">
        <f>IF(ISNUMBER((NºAsuntos!C15+NºAsuntos!E15)/NºAsuntos!G15),(NºAsuntos!C15+NºAsuntos!E15)/NºAsuntos!G15," - ")</f>
        <v>1.9802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0.92205323193916355</v>
      </c>
      <c r="C17" s="442">
        <f>IF(ISNUMBER(NºAsuntos!I17/NºAsuntos!G17),NºAsuntos!I17/NºAsuntos!G17," - ")</f>
        <v>1.0371134020618558</v>
      </c>
      <c r="D17" s="443">
        <f>IF(ISNUMBER('Resol  Asuntos'!D17/NºAsuntos!G17),'Resol  Asuntos'!D17/NºAsuntos!G17," - ")</f>
        <v>0.11958762886597939</v>
      </c>
      <c r="E17" s="444">
        <f>IF(ISNUMBER((NºAsuntos!C17+NºAsuntos!E17)/NºAsuntos!G17),(NºAsuntos!C17+NºAsuntos!E17)/NºAsuntos!G17," - ")</f>
        <v>2.0371134020618555</v>
      </c>
      <c r="G17" s="462"/>
    </row>
    <row r="18" spans="1:7" ht="14.25" thickTop="1" thickBot="1">
      <c r="A18" s="847" t="str">
        <f>Datos!A18</f>
        <v>TOTAL</v>
      </c>
      <c r="B18" s="857">
        <f>IF(ISNUMBER(NºAsuntos!G18/NºAsuntos!E18),NºAsuntos!G18/NºAsuntos!E18," - ")</f>
        <v>1.0200855495629533</v>
      </c>
      <c r="C18" s="858">
        <f>IF(ISNUMBER(NºAsuntos!I18/NºAsuntos!G18),NºAsuntos!I18/NºAsuntos!G18," - ")</f>
        <v>1.0052871467639015</v>
      </c>
      <c r="D18" s="861">
        <f>IF(ISNUMBER('Resol  Asuntos'!D18/NºAsuntos!G18),'Resol  Asuntos'!D18/NºAsuntos!G18," - ")</f>
        <v>8.058340929808569E-2</v>
      </c>
      <c r="E18" s="860">
        <f>IF(ISNUMBER((NºAsuntos!C18+NºAsuntos!E18)/NºAsuntos!G18),(NºAsuntos!C18+NºAsuntos!E18)/NºAsuntos!G18," - ")</f>
        <v>1.985232452142206</v>
      </c>
      <c r="G18" s="462"/>
    </row>
    <row r="19" spans="1:7" ht="15.75" customHeight="1" thickTop="1" thickBot="1">
      <c r="A19" s="792" t="str">
        <f>Datos!A19</f>
        <v>TOTAL JURISDICCIONES</v>
      </c>
      <c r="B19" s="807">
        <f>IF(ISNUMBER(NºAsuntos!G19/NºAsuntos!E19),NºAsuntos!G19/NºAsuntos!E19," - ")</f>
        <v>0.92538648268813084</v>
      </c>
      <c r="C19" s="808">
        <f>IF(ISNUMBER(NºAsuntos!I19/NºAsuntos!G19),NºAsuntos!I19/NºAsuntos!G19," - ")</f>
        <v>2.4427723319066685</v>
      </c>
      <c r="D19" s="809">
        <f>IF(ISNUMBER('Resol  Asuntos'!D19/NºAsuntos!G19),'Resol  Asuntos'!D19/NºAsuntos!G19," - ")</f>
        <v>0.14938561369598233</v>
      </c>
      <c r="E19" s="810">
        <f>IF(ISNUMBER((NºAsuntos!C19+NºAsuntos!E19)/NºAsuntos!G19),(NºAsuntos!C19+NºAsuntos!E19)/NºAsuntos!G19," - ")</f>
        <v>3.4275852547287036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ViIoOUN0Gdb98/20HJ3xDUNecN6AlY3ooqtfv4smSFH6x/K4LfCAwSJYbGcBsRHv91rCXVTaD49Ew1ztc4qzA==" saltValue="dI22MRx9VXwovoMW2BCT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MARBELLA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810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588</v>
      </c>
      <c r="Y9" s="333">
        <f>SUM(W9:X9)</f>
        <v>588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12677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624</v>
      </c>
      <c r="AJ9" s="228" t="str">
        <f>IF(ISNUMBER(Datos!BW9),Datos!BW9," - ")</f>
        <v xml:space="preserve"> - </v>
      </c>
      <c r="AK9" s="227" t="str">
        <f>IF(ISNUMBER(Datos!BX9),Datos!BX9," - ")</f>
        <v xml:space="preserve"> - </v>
      </c>
      <c r="AL9" s="242">
        <f>IF(ISNUMBER(NºAsuntos!G9/NºAsuntos!E9),NºAsuntos!G9/NºAsuntos!E9," - ")</f>
        <v>0.71653543307086609</v>
      </c>
      <c r="AM9" s="259">
        <f>IF(ISNUMBER(((NºAsuntos!I9/NºAsuntos!G9)*11)/factor_trimestre),((NºAsuntos!I9/NºAsuntos!G9)*11)/factor_trimestre," - ")</f>
        <v>20.94274146905726</v>
      </c>
      <c r="AN9" s="243">
        <f>IF(ISNUMBER('Resol  Asuntos'!D9/NºAsuntos!G9),'Resol  Asuntos'!D9/NºAsuntos!G9," - ")</f>
        <v>0.36090225563909772</v>
      </c>
      <c r="AO9" s="244">
        <f>IF(ISNUMBER((NºAsuntos!C9+NºAsuntos!E9)/NºAsuntos!G9),(NºAsuntos!C9+NºAsuntos!E9)/NºAsuntos!G9," - ")</f>
        <v>7.9809138230190859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101</v>
      </c>
      <c r="G10" s="332">
        <f>IF(ISNUMBER(Datos!I10),Datos!I10," - ")</f>
        <v>101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0</v>
      </c>
      <c r="Y10" s="333">
        <f t="shared" ref="Y10:Y12" si="0">SUM(W10:X10)</f>
        <v>29</v>
      </c>
      <c r="Z10" s="334" t="str">
        <f>IF(ISNUMBER(Datos!CC10),Datos!CC10," - ")</f>
        <v xml:space="preserve"> - </v>
      </c>
      <c r="AA10" s="331">
        <f>IF(ISNUMBER(Datos!L10),Datos!L10,"-")</f>
        <v>109</v>
      </c>
      <c r="AB10" s="333">
        <f>IF(ISNUMBER(Datos!R10),Datos!R10," - ")</f>
        <v>42</v>
      </c>
      <c r="AC10" s="333">
        <f t="shared" ref="AC10:AC12" si="1">IF(ISNUMBER(AA10+AB10),AA10+AB10," - ")</f>
        <v>151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0.78378378378378377</v>
      </c>
      <c r="AM10" s="259">
        <f>IF(ISNUMBER(((NºAsuntos!I10/NºAsuntos!G10)*11)/factor_trimestre),((NºAsuntos!I10/NºAsuntos!G10)*11)/factor_trimestre," - ")</f>
        <v>11.275862068965518</v>
      </c>
      <c r="AN10" s="243">
        <f>IF(ISNUMBER('Resol  Asuntos'!D10/NºAsuntos!G10),'Resol  Asuntos'!D10/NºAsuntos!G10," - ")</f>
        <v>0.55172413793103448</v>
      </c>
      <c r="AO10" s="244">
        <f>IF(ISNUMBER((NºAsuntos!C10+NºAsuntos!E10)/NºAsuntos!G10),(NºAsuntos!C10+NºAsuntos!E10)/NºAsuntos!G10," - ")</f>
        <v>4.7586206896551726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101</v>
      </c>
      <c r="G13" s="865">
        <f t="shared" si="3"/>
        <v>101</v>
      </c>
      <c r="H13" s="864">
        <f t="shared" si="3"/>
        <v>0</v>
      </c>
      <c r="I13" s="866">
        <f t="shared" si="3"/>
        <v>0</v>
      </c>
      <c r="J13" s="866">
        <f t="shared" si="3"/>
        <v>0</v>
      </c>
      <c r="K13" s="866">
        <f t="shared" si="3"/>
        <v>0</v>
      </c>
      <c r="L13" s="866">
        <f t="shared" si="3"/>
        <v>819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588</v>
      </c>
      <c r="Y13" s="867">
        <f t="shared" si="4"/>
        <v>617</v>
      </c>
      <c r="Z13" s="867">
        <f t="shared" si="4"/>
        <v>0</v>
      </c>
      <c r="AA13" s="867">
        <f t="shared" si="4"/>
        <v>109</v>
      </c>
      <c r="AB13" s="867">
        <f t="shared" si="4"/>
        <v>12719</v>
      </c>
      <c r="AC13" s="867">
        <f t="shared" si="4"/>
        <v>151</v>
      </c>
      <c r="AD13" s="867">
        <f t="shared" si="4"/>
        <v>0</v>
      </c>
      <c r="AE13" s="871">
        <f t="shared" si="4"/>
        <v>0</v>
      </c>
      <c r="AF13" s="864">
        <f t="shared" si="4"/>
        <v>0</v>
      </c>
      <c r="AG13" s="872">
        <f t="shared" si="4"/>
        <v>0</v>
      </c>
      <c r="AH13" s="869">
        <f t="shared" si="4"/>
        <v>0</v>
      </c>
      <c r="AI13" s="864">
        <f t="shared" si="4"/>
        <v>640</v>
      </c>
      <c r="AJ13" s="866">
        <f t="shared" si="4"/>
        <v>0</v>
      </c>
      <c r="AK13" s="869">
        <f>SUBTOTAL(9,AK9:AK12)</f>
        <v>0</v>
      </c>
      <c r="AL13" s="873">
        <f>IF(ISNUMBER(NºAsuntos!G13/NºAsuntos!E13),NºAsuntos!G13/NºAsuntos!E13," - ")</f>
        <v>0.71755102040816332</v>
      </c>
      <c r="AM13" s="873">
        <f>IF(ISNUMBER(((NºAsuntos!I13/NºAsuntos!G13)*11)/factor_trimestre),((NºAsuntos!I13/NºAsuntos!G13)*11)/factor_trimestre," - ")</f>
        <v>20.783276450511948</v>
      </c>
      <c r="AN13" s="874">
        <f>IF(ISNUMBER('Resol  Asuntos'!D13/NºAsuntos!G13),'Resol  Asuntos'!D13/NºAsuntos!G13," - ")</f>
        <v>0.36405005688282138</v>
      </c>
      <c r="AO13" s="875">
        <f>IF(ISNUMBER((NºAsuntos!C13+NºAsuntos!E13)/NºAsuntos!G13),(NºAsuntos!C13+NºAsuntos!E13)/NºAsuntos!G13," - ")</f>
        <v>7.927758816837315</v>
      </c>
      <c r="AP13" s="876" t="str">
        <f t="shared" si="2"/>
        <v xml:space="preserve"> - </v>
      </c>
      <c r="AQ13" s="876">
        <f>IF(ISNUMBER((H13-W13+K13)/(F13)),(H13-W13+K13)/(F13)," - ")</f>
        <v>-0.28712871287128711</v>
      </c>
      <c r="AR13" s="877">
        <f>IF(ISNUMBER((Datos!P13-Datos!Q13)/(Datos!R13-Datos!P13+Datos!Q13)),(Datos!P13-Datos!Q13)/(Datos!R13-Datos!P13+Datos!Q13)," - ")</f>
        <v>1.8497757847533634E-2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5160</v>
      </c>
      <c r="G15" s="332">
        <f>IF(ISNUMBER(IF(D_I="SI",Datos!I15,Datos!I15+Datos!AC15)),IF(D_I="SI",Datos!I15,Datos!I15+Datos!AC15)," - ")</f>
        <v>5050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5000</v>
      </c>
      <c r="X15" s="225">
        <f>IF(ISNUMBER(Datos!Q15),Datos!Q15," - ")</f>
        <v>136</v>
      </c>
      <c r="Y15" s="333">
        <f>SUM(W15)</f>
        <v>5000</v>
      </c>
      <c r="Z15" s="334" t="str">
        <f>IF(ISNUMBER(Datos!CC15),Datos!CC15," - ")</f>
        <v xml:space="preserve"> - </v>
      </c>
      <c r="AA15" s="331">
        <f>IF(ISNUMBER(IF(D_I="SI",Datos!L15,Datos!L15+Datos!AF15)),IF(D_I="SI",Datos!L15,Datos!L15+Datos!AF15)," - ")</f>
        <v>5011</v>
      </c>
      <c r="AB15" s="333">
        <f>IF(ISNUMBER(Datos!R15),Datos!R15," - ")</f>
        <v>248</v>
      </c>
      <c r="AC15" s="333">
        <f t="shared" ref="AC15:AC17" si="6">IF(ISNUMBER(AA15+AB15),AA15+AB15," - ")</f>
        <v>5259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384</v>
      </c>
      <c r="AJ15" s="230" t="str">
        <f>IF(ISNUMBER(Datos!BW15),Datos!BW15," - ")</f>
        <v xml:space="preserve"> - </v>
      </c>
      <c r="AK15" s="231" t="str">
        <f>IF(ISNUMBER(Datos!BX15),Datos!BX15," - ")</f>
        <v xml:space="preserve"> - </v>
      </c>
      <c r="AL15" s="242">
        <f>IF(ISNUMBER(NºAsuntos!G15/NºAsuntos!E15),NºAsuntos!G15/NºAsuntos!E15," - ")</f>
        <v>1.0307153164296021</v>
      </c>
      <c r="AM15" s="259">
        <f>IF(ISNUMBER(((NºAsuntos!I15/NºAsuntos!G15)*11)/factor_trimestre),((NºAsuntos!I15/NºAsuntos!G15)*11)/factor_trimestre," - ")</f>
        <v>3.0066000000000002</v>
      </c>
      <c r="AN15" s="243">
        <f>IF(ISNUMBER('Resol  Asuntos'!D15/NºAsuntos!G15),'Resol  Asuntos'!D15/NºAsuntos!G15," - ")</f>
        <v>7.6799999999999993E-2</v>
      </c>
      <c r="AO15" s="244">
        <f>IF(ISNUMBER((NºAsuntos!C15+NºAsuntos!E15)/NºAsuntos!G15),(NºAsuntos!C15+NºAsuntos!E15)/NºAsuntos!G15," - ")</f>
        <v>1.9802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462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485</v>
      </c>
      <c r="X17" s="225">
        <f>IF(ISNUMBER(Datos!Q17),Datos!Q17," - ")</f>
        <v>21</v>
      </c>
      <c r="Y17" s="333">
        <f t="shared" si="7"/>
        <v>506</v>
      </c>
      <c r="Z17" s="334" t="str">
        <f>IF(ISNUMBER(Datos!CC17),Datos!CC17," - ")</f>
        <v xml:space="preserve"> - </v>
      </c>
      <c r="AA17" s="331">
        <f>IF(ISNUMBER(Datos!L17),Datos!L17,"-")</f>
        <v>503</v>
      </c>
      <c r="AB17" s="333">
        <f>IF(ISNUMBER(Datos!R17),Datos!R17," - ")</f>
        <v>41</v>
      </c>
      <c r="AC17" s="333">
        <f t="shared" si="6"/>
        <v>544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0.92205323193916355</v>
      </c>
      <c r="AM17" s="259">
        <f>IF(ISNUMBER(((NºAsuntos!I17/NºAsuntos!G17)*11)/factor_trimestre),((NºAsuntos!I17/NºAsuntos!G17)*11)/factor_trimestre," - ")</f>
        <v>3.1113402061855671</v>
      </c>
      <c r="AN17" s="243">
        <f>IF(ISNUMBER('Resol  Asuntos'!D17/NºAsuntos!G17),'Resol  Asuntos'!D17/NºAsuntos!G17," - ")</f>
        <v>0.11958762886597939</v>
      </c>
      <c r="AO17" s="244">
        <f>IF(ISNUMBER((NºAsuntos!C17+NºAsuntos!E17)/NºAsuntos!G17),(NºAsuntos!C17+NºAsuntos!E17)/NºAsuntos!G17," - ")</f>
        <v>2.0371134020618555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5160</v>
      </c>
      <c r="G18" s="865">
        <f>SUBTOTAL(9,G15:G17)</f>
        <v>5512</v>
      </c>
      <c r="H18" s="864">
        <f t="shared" ref="H18:O18" si="10">SUBTOTAL(9,H14:H17)</f>
        <v>0</v>
      </c>
      <c r="I18" s="866">
        <f t="shared" si="10"/>
        <v>0</v>
      </c>
      <c r="J18" s="866">
        <f t="shared" si="10"/>
        <v>0</v>
      </c>
      <c r="K18" s="866">
        <f t="shared" si="10"/>
        <v>0</v>
      </c>
      <c r="L18" s="866">
        <f t="shared" si="10"/>
        <v>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5485</v>
      </c>
      <c r="X18" s="866">
        <f t="shared" si="11"/>
        <v>157</v>
      </c>
      <c r="Y18" s="867">
        <f t="shared" si="11"/>
        <v>5506</v>
      </c>
      <c r="Z18" s="867">
        <f t="shared" si="11"/>
        <v>0</v>
      </c>
      <c r="AA18" s="867">
        <f t="shared" si="11"/>
        <v>5514</v>
      </c>
      <c r="AB18" s="867">
        <f t="shared" si="11"/>
        <v>289</v>
      </c>
      <c r="AC18" s="867">
        <f t="shared" si="11"/>
        <v>5803</v>
      </c>
      <c r="AD18" s="867">
        <f t="shared" si="11"/>
        <v>0</v>
      </c>
      <c r="AE18" s="871">
        <f t="shared" si="11"/>
        <v>0</v>
      </c>
      <c r="AF18" s="864">
        <f t="shared" si="11"/>
        <v>0</v>
      </c>
      <c r="AG18" s="872">
        <f t="shared" si="11"/>
        <v>0</v>
      </c>
      <c r="AH18" s="869">
        <f t="shared" si="11"/>
        <v>0</v>
      </c>
      <c r="AI18" s="864">
        <f t="shared" si="11"/>
        <v>442</v>
      </c>
      <c r="AJ18" s="866">
        <f t="shared" si="11"/>
        <v>0</v>
      </c>
      <c r="AK18" s="869">
        <f t="shared" si="11"/>
        <v>0</v>
      </c>
      <c r="AL18" s="873">
        <f>IF(ISNUMBER(NºAsuntos!G18/NºAsuntos!E18),NºAsuntos!G18/NºAsuntos!E18," - ")</f>
        <v>1.0200855495629533</v>
      </c>
      <c r="AM18" s="873">
        <f>IF(ISNUMBER(((NºAsuntos!I18/NºAsuntos!G18)*11)/factor_trimestre),((NºAsuntos!I18/NºAsuntos!G18)*11)/factor_trimestre," - ")</f>
        <v>3.0158614402917046</v>
      </c>
      <c r="AN18" s="874">
        <f>IF(ISNUMBER('Resol  Asuntos'!D18/NºAsuntos!G18),'Resol  Asuntos'!D18/NºAsuntos!G18," - ")</f>
        <v>8.058340929808569E-2</v>
      </c>
      <c r="AO18" s="875">
        <f>IF(ISNUMBER((NºAsuntos!C18+NºAsuntos!E18)/NºAsuntos!G18),(NºAsuntos!C18+NºAsuntos!E18)/NºAsuntos!G18," - ")</f>
        <v>1.985232452142206</v>
      </c>
      <c r="AP18" s="876" t="str">
        <f t="shared" si="2"/>
        <v xml:space="preserve"> - </v>
      </c>
      <c r="AQ18" s="876">
        <f>IF(ISNUMBER((H18-W18+K18)/(F18)),(H18-W18+K18)/(F18)," - ")</f>
        <v>-1.0629844961240309</v>
      </c>
      <c r="AR18" s="877">
        <f>IF(ISNUMBER((Datos!P18-Datos!Q18)/(Datos!R18-Datos!P18+Datos!Q18)),(Datos!P18-Datos!Q18)/(Datos!R18-Datos!P18+Datos!Q18)," - ")</f>
        <v>-0.24146981627296588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5261</v>
      </c>
      <c r="G19" s="820">
        <f t="shared" si="13"/>
        <v>5613</v>
      </c>
      <c r="H19" s="819">
        <f t="shared" si="13"/>
        <v>0</v>
      </c>
      <c r="I19" s="821">
        <f t="shared" si="13"/>
        <v>0</v>
      </c>
      <c r="J19" s="821">
        <f t="shared" si="13"/>
        <v>0</v>
      </c>
      <c r="K19" s="880">
        <f t="shared" si="13"/>
        <v>0</v>
      </c>
      <c r="L19" s="821">
        <f t="shared" si="13"/>
        <v>884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5514</v>
      </c>
      <c r="X19" s="820">
        <f t="shared" si="14"/>
        <v>745</v>
      </c>
      <c r="Y19" s="827">
        <f t="shared" si="14"/>
        <v>6123</v>
      </c>
      <c r="Z19" s="827">
        <f t="shared" si="14"/>
        <v>0</v>
      </c>
      <c r="AA19" s="827">
        <f t="shared" si="14"/>
        <v>5623</v>
      </c>
      <c r="AB19" s="827">
        <f t="shared" si="14"/>
        <v>13008</v>
      </c>
      <c r="AC19" s="827">
        <f t="shared" si="14"/>
        <v>5954</v>
      </c>
      <c r="AD19" s="827">
        <f t="shared" si="14"/>
        <v>0</v>
      </c>
      <c r="AE19" s="829">
        <f t="shared" si="14"/>
        <v>0</v>
      </c>
      <c r="AF19" s="830">
        <f t="shared" si="14"/>
        <v>0</v>
      </c>
      <c r="AG19" s="831">
        <f t="shared" si="14"/>
        <v>0</v>
      </c>
      <c r="AH19" s="829">
        <f t="shared" si="14"/>
        <v>0</v>
      </c>
      <c r="AI19" s="819">
        <f t="shared" si="14"/>
        <v>1082</v>
      </c>
      <c r="AJ19" s="819">
        <f t="shared" si="14"/>
        <v>0</v>
      </c>
      <c r="AK19" s="829">
        <f t="shared" si="14"/>
        <v>0</v>
      </c>
      <c r="AL19" s="883">
        <f>IF(ISNUMBER(NºAsuntos!G19/NºAsuntos!E19),NºAsuntos!G19/NºAsuntos!E19," - ")</f>
        <v>0.92538648268813084</v>
      </c>
      <c r="AM19" s="884">
        <f>IF(ISNUMBER(((NºAsuntos!I19/NºAsuntos!G19)*11)/factor_trimestre),((NºAsuntos!I19/NºAsuntos!G19)*11)/factor_trimestre," - ")</f>
        <v>7.3283169957200061</v>
      </c>
      <c r="AN19" s="884">
        <f>IF(ISNUMBER('Resol  Asuntos'!D19/NºAsuntos!G19),'Resol  Asuntos'!D19/NºAsuntos!G19," - ")</f>
        <v>0.14938561369598233</v>
      </c>
      <c r="AO19" s="885">
        <f>IF(ISNUMBER((NºAsuntos!C19+NºAsuntos!E19)/NºAsuntos!G19),(NºAsuntos!C19+NºAsuntos!E19)/NºAsuntos!G19," - ")</f>
        <v>3.4275852547287036</v>
      </c>
      <c r="AP19" s="886" t="str">
        <f t="shared" si="2"/>
        <v xml:space="preserve"> - </v>
      </c>
      <c r="AQ19" s="887">
        <f>IF(OR(ISNUMBER(FIND("01",Criterios!A8,1)),ISNUMBER(FIND("02",Criterios!A8,1)),ISNUMBER(FIND("03",Criterios!A8,1)),ISNUMBER(FIND("04",Criterios!A8,1))),(I19-W19+K19)/(F19-K19),(H19-W19+K19)/(F19-K19))</f>
        <v>-1.0480897167838814</v>
      </c>
      <c r="AR19" s="888">
        <f>IF(ISNUMBER((Datos!P19-Datos!Q19)/(Datos!R19-Datos!P19+Datos!Q19)),(Datos!P19-Datos!Q19)/(Datos!R19-Datos!P19+Datos!Q19)," - ")</f>
        <v>1.0801150050508974E-2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2245.1999999999998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3.833333333333333</v>
      </c>
      <c r="F21" s="251">
        <f>IF(ISNUMBER(STDEV(F8:F18)),STDEV(F8:F18),"-")</f>
        <v>2920.815011830317</v>
      </c>
      <c r="G21" s="252">
        <f>IF(ISNUMBER(STDEV(G8:G18)),STDEV(G8:G18),"-")</f>
        <v>2780.0123560876486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2783.8271857283094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270.16044615499635</v>
      </c>
      <c r="AJ21" s="251">
        <f t="shared" si="18"/>
        <v>0</v>
      </c>
      <c r="AK21" s="253">
        <f t="shared" si="18"/>
        <v>0</v>
      </c>
      <c r="AL21" s="248">
        <f t="shared" si="18"/>
        <v>0.14501522720482712</v>
      </c>
      <c r="AM21" s="249">
        <f t="shared" si="18"/>
        <v>8.7410496541423974</v>
      </c>
      <c r="AN21" s="249">
        <f t="shared" si="18"/>
        <v>0.19574070268346291</v>
      </c>
      <c r="AO21" s="250">
        <f t="shared" si="18"/>
        <v>2.920762461097083</v>
      </c>
      <c r="AP21" s="290" t="str">
        <f t="shared" si="18"/>
        <v>-</v>
      </c>
      <c r="AQ21" s="291">
        <f t="shared" si="18"/>
        <v>0.54861288556081544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jo+C24NfuiQYWXKbSsrwnxhqe+hxNDfUP4sBxZkbmHWnrVs58C6TGhLboIzzfHD/ZK0WO+JujPmnwTrtFTw2A==" saltValue="Zg6nKqMP/mSN2v7cPL6p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MARBELLA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-0.12482468443197756</v>
      </c>
      <c r="I9" s="349">
        <f>IF(ISNUMBER((Tasas!C9-Datos!BE9)/Datos!BE9),(Tasas!C9-Datos!BE9)/Datos!BE9," - ")</f>
        <v>0.62426927814974187</v>
      </c>
      <c r="J9" s="348">
        <f>IF(ISNUMBER((Tasas!D9-Datos!BF9)/Datos!BF9),(Tasas!D9-Datos!BF9)/Datos!BF9," - ")</f>
        <v>-8.3164035196592712E-2</v>
      </c>
      <c r="K9" s="350">
        <f>IF(ISNUMBER((Tasas!E9-Datos!BG9)/Datos!BG9),(Tasas!E9-Datos!BG9)/Datos!BG9," - ")</f>
        <v>0.50721384864094865</v>
      </c>
      <c r="M9" t="e">
        <f>IF(Monitorios="SI",Datos!CE9,0)</f>
        <v>#REF!</v>
      </c>
      <c r="N9" t="e">
        <f>IF(Monitorios="SI",Datos!CF9,0)</f>
        <v>#REF!</v>
      </c>
      <c r="O9" t="e">
        <f>IF(Monitorios="SI",Datos!CG9,0)</f>
        <v>#REF!</v>
      </c>
      <c r="P9" t="e">
        <f>IF(Monitorios="SI",Datos!CH9,0)</f>
        <v>#REF!</v>
      </c>
      <c r="Q9">
        <f>IF(J_V="SI",0,Datos!AG9)</f>
        <v>296</v>
      </c>
      <c r="R9">
        <f>IF(J_V="SI",0,Datos!AH9)</f>
        <v>143</v>
      </c>
      <c r="S9">
        <f>IF(J_V="SI",0,Datos!AI9)</f>
        <v>158</v>
      </c>
      <c r="T9">
        <f>IF(J_V="SI",0,Datos!AJ9)</f>
        <v>289</v>
      </c>
    </row>
    <row r="10" spans="2:20" ht="14.25">
      <c r="B10" s="274" t="s">
        <v>246</v>
      </c>
      <c r="C10" s="7" t="str">
        <f>Datos!A10</f>
        <v>Jdos. Violencia contra la mujer/Secc Viol. TI.</v>
      </c>
      <c r="D10" s="351">
        <f>IF(ISNUMBER((Datos!I10-Datos!S10)/Datos!S10),(Datos!I10-Datos!S10)/Datos!S10," - ")</f>
        <v>0.48529411764705882</v>
      </c>
      <c r="E10" s="347">
        <f>IF(ISNUMBER((Datos!J10-Datos!T10)/Datos!T10),(Datos!J10-Datos!T10)/Datos!T10," - ")</f>
        <v>-0.21276595744680851</v>
      </c>
      <c r="F10" s="347">
        <f>IF(ISNUMBER((Datos!K10-Datos!U10)/Datos!U10),(Datos!K10-Datos!U10)/Datos!U10," - ")</f>
        <v>-0.27500000000000002</v>
      </c>
      <c r="G10" s="348">
        <f>IF(ISNUMBER((Datos!L10-Datos!V10)/Datos!V10),(Datos!L10-Datos!V10)/Datos!V10," - ")</f>
        <v>0.11224489795918367</v>
      </c>
      <c r="H10" s="229">
        <f>IF(ISNUMBER((Datos!M10-Datos!W10)/Datos!W10),(Datos!M10-Datos!W10)/Datos!W10," - ")</f>
        <v>-5.8823529411764705E-2</v>
      </c>
      <c r="I10" s="349">
        <f>IF(ISNUMBER((Tasas!C10-Datos!BE10)/Datos!BE10),(Tasas!C10-Datos!BE10)/Datos!BE10," - ")</f>
        <v>0.534130893736805</v>
      </c>
      <c r="J10" s="348">
        <f>IF(ISNUMBER((Tasas!D10-Datos!BF10)/Datos!BF10),(Tasas!D10-Datos!BF10)/Datos!BF10," - ")</f>
        <v>0.29817444219066941</v>
      </c>
      <c r="K10" s="350">
        <f>IF(ISNUMBER((Tasas!E10-Datos!BG10)/Datos!BG10),(Tasas!E10-Datos!BG10)/Datos!BG10," - ")</f>
        <v>0.65517241379310354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-0.12328767123287671</v>
      </c>
      <c r="I13" s="356">
        <f>IF(ISNUMBER((Tasas!C13-Datos!BE13)/Datos!BE13),(Tasas!C13-Datos!BE13)/Datos!BE13," - ")</f>
        <v>0.62130889325746552</v>
      </c>
      <c r="J13" s="354">
        <f>IF(ISNUMBER((Tasas!D13-Datos!BF13)/Datos!BF13),(Tasas!D13-Datos!BF13)/Datos!BF13," - ")</f>
        <v>-7.6160643321333404E-2</v>
      </c>
      <c r="K13" s="357">
        <f>IF(ISNUMBER((Tasas!E13-Datos!BG13)/Datos!BG13),(Tasas!E13-Datos!BG13)/Datos!BG13," - ")</f>
        <v>0.50646731203396589</v>
      </c>
      <c r="M13" t="e">
        <f>IF(Monitorios="SI",Datos!CE13,0)</f>
        <v>#REF!</v>
      </c>
      <c r="N13" t="e">
        <f>IF(Monitorios="SI",Datos!CF13,0)</f>
        <v>#REF!</v>
      </c>
      <c r="O13" t="e">
        <f>IF(Monitorios="SI",Datos!CG13,0)</f>
        <v>#REF!</v>
      </c>
      <c r="P13" t="e">
        <f>IF(Monitorios="SI",Datos!CH13,0)</f>
        <v>#REF!</v>
      </c>
      <c r="Q13">
        <f>IF(J_V="SI",0,Datos!AG13)</f>
        <v>296</v>
      </c>
      <c r="R13">
        <f>IF(J_V="SI",0,Datos!AH13)</f>
        <v>143</v>
      </c>
      <c r="S13">
        <f>IF(J_V="SI",0,Datos!AI13)</f>
        <v>158</v>
      </c>
      <c r="T13">
        <f>IF(J_V="SI",0,Datos!AJ13)</f>
        <v>289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0.21277617675312199</v>
      </c>
      <c r="E15" s="347">
        <f>IF(ISNUMBER(
   IF(D_I="SI",(Datos!J15-Datos!T15)/Datos!T15,(Datos!J15+Datos!AD15-(Datos!T15+Datos!AL15))/(Datos!T15+Datos!AL15))
     ),IF(D_I="SI",(Datos!J15-Datos!T15)/Datos!T15,(Datos!J15+Datos!AD15-(Datos!T15+Datos!AL15))/(Datos!T15+Datos!AL15))," - ")</f>
        <v>0.19072164948453607</v>
      </c>
      <c r="F15" s="347">
        <f>IF(ISNUMBER(
   IF(D_I="SI",(Datos!K15-Datos!U15)/Datos!U15,(Datos!K15+Datos!AE15-(Datos!U15+Datos!AM15))/(Datos!U15+Datos!AM15))
     ),IF(D_I="SI",(Datos!K15-Datos!U15)/Datos!U15,(Datos!K15+Datos!AE15-(Datos!U15+Datos!AM15))/(Datos!U15+Datos!AM15))," - ")</f>
        <v>0.20540019286403086</v>
      </c>
      <c r="G15" s="348">
        <f>IF(ISNUMBER(
   IF(D_I="SI",(Datos!L15-Datos!V15)/Datos!V15,(Datos!L15+Datos!AF15-(Datos!V15+Datos!AN15))/(Datos!V15+Datos!AN15))
     ),IF(D_I="SI",(Datos!L15-Datos!V15)/Datos!V15,(Datos!L15+Datos!AF15-(Datos!V15+Datos!AN15))/(Datos!V15+Datos!AN15))," - ")</f>
        <v>0.24219137332672286</v>
      </c>
      <c r="H15" s="229">
        <f>IF(ISNUMBER((Datos!M15-Datos!W15)/Datos!W15),(Datos!M15-Datos!W15)/Datos!W15," - ")</f>
        <v>-0.12528473804100229</v>
      </c>
      <c r="I15" s="349">
        <f>IF(ISNUMBER((Tasas!C15-Datos!BE15)/Datos!BE15),(Tasas!C15-Datos!BE15)/Datos!BE15," - ")</f>
        <v>3.0521963311849299E-2</v>
      </c>
      <c r="J15" s="348">
        <f>IF(ISNUMBER((Tasas!D15-Datos!BF15)/Datos!BF15),(Tasas!D15-Datos!BF15)/Datos!BF15," - ")</f>
        <v>-0.27433621867881558</v>
      </c>
      <c r="K15" s="350">
        <f>IF(ISNUMBER((Tasas!E15-Datos!BG15)/Datos!BG15),(Tasas!E15-Datos!BG15)/Datos!BG15," - ")</f>
        <v>-2.9291575625152349E-3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0.32378223495702008</v>
      </c>
      <c r="E17" s="347">
        <f>IF(ISNUMBER(
   IF(D_I="SI",(Datos!J17-Datos!T17)/Datos!T17,(Datos!J17+Datos!AD17-(Datos!T17+Datos!AL17))/(Datos!T17+Datos!AL17))
     ),IF(D_I="SI",(Datos!J17-Datos!T17)/Datos!T17,(Datos!J17+Datos!AD17-(Datos!T17+Datos!AL17))/(Datos!T17+Datos!AL17))," - ")</f>
        <v>-0.14886731391585761</v>
      </c>
      <c r="F17" s="347">
        <f>IF(ISNUMBER(
   IF(D_I="SI",(Datos!K17-Datos!U17)/Datos!U17,(Datos!K17+Datos!AE17-(Datos!U17+Datos!AM17))/(Datos!U17+Datos!AM17))
     ),IF(D_I="SI",(Datos!K17-Datos!U17)/Datos!U17,(Datos!K17+Datos!AE17-(Datos!U17+Datos!AM17))/(Datos!U17+Datos!AM17))," - ")</f>
        <v>0.20947630922693267</v>
      </c>
      <c r="G17" s="348">
        <f>IF(ISNUMBER(
   IF(D_I="SI",(Datos!L17-Datos!V17)/Datos!V17,(Datos!L17+Datos!AF17-(Datos!V17+Datos!AN17))/(Datos!V17+Datos!AN17))
     ),IF(D_I="SI",(Datos!L17-Datos!V17)/Datos!V17,(Datos!L17+Datos!AF17-(Datos!V17+Datos!AN17))/(Datos!V17+Datos!AN17))," - ")</f>
        <v>-0.13126079447322972</v>
      </c>
      <c r="H17" s="229">
        <f>IF(ISNUMBER((Datos!M17-Datos!W17)/Datos!W17),(Datos!M17-Datos!W17)/Datos!W17," - ")</f>
        <v>0.56756756756756754</v>
      </c>
      <c r="I17" s="349">
        <f>IF(ISNUMBER((Tasas!C17-Datos!BE17)/Datos!BE17),(Tasas!C17-Datos!BE17)/Datos!BE17," - ")</f>
        <v>-0.2817228424407528</v>
      </c>
      <c r="J17" s="348">
        <f>IF(ISNUMBER((Tasas!D17-Datos!BF17)/Datos!BF17),(Tasas!D17-Datos!BF17)/Datos!BF17," - ")</f>
        <v>0.29607132906101985</v>
      </c>
      <c r="K17" s="350">
        <f>IF(ISNUMBER((Tasas!E17-Datos!BG17)/Datos!BG17),(Tasas!E17-Datos!BG17)/Datos!BG17," - ")</f>
        <v>-0.15524046098572478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0.22136051407046312</v>
      </c>
      <c r="E18" s="353">
        <f>IF(ISNUMBER(
   IF(D_I="SI",(Datos!J18-Datos!T18)/Datos!T18,(Datos!J18+Datos!AD18-(Datos!T18+Datos!AL18))/(Datos!T18+Datos!AL18))
     ),IF(D_I="SI",(Datos!J18-Datos!T18)/Datos!T18,(Datos!J18+Datos!AD18-(Datos!T18+Datos!AL18))/(Datos!T18+Datos!AL18))," - ")</f>
        <v>0.14599317988064792</v>
      </c>
      <c r="F18" s="353">
        <f>IF(ISNUMBER(
   IF(D_I="SI",(Datos!K18-Datos!U18)/Datos!U18,(Datos!K18+Datos!AE18-(Datos!U18+Datos!AM18))/(Datos!U18+Datos!AM18))
     ),IF(D_I="SI",(Datos!K18-Datos!U18)/Datos!U18,(Datos!K18+Datos!AE18-(Datos!U18+Datos!AM18))/(Datos!U18+Datos!AM18))," - ")</f>
        <v>0.20575950758408443</v>
      </c>
      <c r="G18" s="354">
        <f>IF(ISNUMBER(
   IF(D_I="SI",(Datos!L18-Datos!V18)/Datos!V18,(Datos!L18+Datos!AF18-(Datos!V18+Datos!AN18))/(Datos!V18+Datos!AN18))
     ),IF(D_I="SI",(Datos!L18-Datos!V18)/Datos!V18,(Datos!L18+Datos!AF18-(Datos!V18+Datos!AN18))/(Datos!V18+Datos!AN18))," - ")</f>
        <v>0.1953175807500542</v>
      </c>
      <c r="H18" s="355">
        <f>IF(ISNUMBER((Datos!M18-Datos!W18)/Datos!W18),(Datos!M18-Datos!W18)/Datos!W18," - ")</f>
        <v>-7.1428571428571425E-2</v>
      </c>
      <c r="I18" s="356">
        <f>IF(ISNUMBER((Tasas!C18-Datos!BE18)/Datos!BE18),(Tasas!C18-Datos!BE18)/Datos!BE18," - ")</f>
        <v>-8.6600410515958962E-3</v>
      </c>
      <c r="J18" s="354">
        <f>IF(ISNUMBER((Tasas!D18-Datos!BF18)/Datos!BF18),(Tasas!D18-Datos!BF18)/Datos!BF18," - ")</f>
        <v>-0.22988670399791641</v>
      </c>
      <c r="K18" s="357">
        <f>IF(ISNUMBER((Tasas!E18-Datos!BG18)/Datos!BG18),(Tasas!E18-Datos!BG18)/Datos!BG18," - ")</f>
        <v>-1.8922061401966849E-2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6.2371101806137114E-2</v>
      </c>
      <c r="E19" s="362">
        <f>IF(ISNUMBER(
   IF(J_V="SI",(Datos!J19-Datos!T19)/Datos!T19,(Datos!J19+Datos!Z19-(Datos!T19+Datos!AH19))/(Datos!T19+Datos!AH19))
     ),IF(J_V="SI",(Datos!J19-Datos!T19)/Datos!T19,(Datos!J19+Datos!Z19-(Datos!T19+Datos!AH19))/(Datos!T19+Datos!AH19))," - ")</f>
        <v>-0.11077027948193592</v>
      </c>
      <c r="F19" s="362">
        <f>IF(ISNUMBER(
   IF(J_V="SI",(Datos!K19-Datos!U19)/Datos!U19,(Datos!K19+Datos!AA19-(Datos!U19+Datos!AI19))/(Datos!U19+Datos!AI19))
     ),IF(J_V="SI",(Datos!K19-Datos!U19)/Datos!U19,(Datos!K19+Datos!AA19-(Datos!U19+Datos!AI19))/(Datos!U19+Datos!AI19))," - ")</f>
        <v>-3.5937707972847066E-2</v>
      </c>
      <c r="G19" s="363">
        <f>IF(ISNUMBER(
   IF(J_V="SI",(Datos!L19-Datos!V19)/Datos!V19,(Datos!L19+Datos!AB19-(Datos!V19+Datos!AJ19))/(Datos!V19+Datos!AJ19))
     ),IF(J_V="SI",(Datos!L19-Datos!V19)/Datos!V19,(Datos!L19+Datos!AB19-(Datos!V19+Datos!AJ19))/(Datos!V19+Datos!AJ19))," - ")</f>
        <v>2.4018983678666513E-2</v>
      </c>
      <c r="H19" s="364">
        <f>IF(ISNUMBER((Datos!M19-Datos!W19)/Datos!W19),(Datos!M19-Datos!W19)/Datos!W19," - ")</f>
        <v>-0.10281923714759536</v>
      </c>
      <c r="I19" s="361">
        <f>IF(ISNUMBER((Tasas!C19-Datos!BE19)/Datos!BE19),(Tasas!C19-Datos!BE19)/Datos!BE19," - ")</f>
        <v>6.2191719505428858E-2</v>
      </c>
      <c r="J19" s="362">
        <f>IF(ISNUMBER((Tasas!D19-Datos!BF19)/Datos!BF19),(Tasas!D19-Datos!BF19)/Datos!BF19," - ")</f>
        <v>-0.31731501478229002</v>
      </c>
      <c r="K19" s="363">
        <f>IF(ISNUMBER((Tasas!E19-Datos!BG19)/Datos!BG19),(Tasas!E19-Datos!BG19)/Datos!BG19," - ")</f>
        <v>3.8239246009625916E-2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0.1267869959717835</v>
      </c>
      <c r="E21" s="277">
        <f t="shared" si="1"/>
        <v>0.20409503812901283</v>
      </c>
      <c r="F21" s="277">
        <f t="shared" si="1"/>
        <v>0.24094638097935195</v>
      </c>
      <c r="G21" s="278">
        <f t="shared" si="1"/>
        <v>0.16618245208254107</v>
      </c>
      <c r="H21" s="284">
        <f t="shared" si="1"/>
        <v>0.2744053873703296</v>
      </c>
      <c r="I21" s="276">
        <f t="shared" si="1"/>
        <v>0.38895174508156621</v>
      </c>
      <c r="J21" s="277">
        <f t="shared" si="1"/>
        <v>0.25163097205660151</v>
      </c>
      <c r="K21" s="278">
        <f t="shared" si="1"/>
        <v>0.34542723835383338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gzSefO+PC+Yz7+4K3qRPbyh3cECsi10wByTVpjDpHhXS3wy+4pd+/6q+3zVuqubxC7N4jJiL4TdlcporH5oQg==" saltValue="XO9A+IDB264H9AA4YmxM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